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DU\IDU team\Jhony\"/>
    </mc:Choice>
  </mc:AlternateContent>
  <xr:revisionPtr revIDLastSave="0" documentId="8_{6709EA1F-FECD-46B3-ADB7-51A0FD330B84}" xr6:coauthVersionLast="36" xr6:coauthVersionMax="36" xr10:uidLastSave="{00000000-0000-0000-0000-000000000000}"/>
  <bookViews>
    <workbookView xWindow="0" yWindow="0" windowWidth="28800" windowHeight="12225" tabRatio="715" firstSheet="1" activeTab="4" xr2:uid="{00000000-000D-0000-FFFF-FFFF00000000}"/>
  </bookViews>
  <sheets>
    <sheet name="Settings" sheetId="7" state="hidden" r:id="rId1"/>
    <sheet name="General" sheetId="1" r:id="rId2"/>
    <sheet name="Grand Summary" sheetId="21" r:id="rId3"/>
    <sheet name="Detailed Summary" sheetId="20" r:id="rId4"/>
    <sheet name="Summary financial-physical %" sheetId="23" r:id="rId5"/>
    <sheet name="Goods and WorksPP" sheetId="2" r:id="rId6"/>
    <sheet name="Consulting ServicesPP" sheetId="8" r:id="rId7"/>
    <sheet name="Operational CostPP" sheetId="19" r:id="rId8"/>
    <sheet name="PMUPP" sheetId="16" r:id="rId9"/>
    <sheet name="Capacity BuildingPP" sheetId="4" r:id="rId10"/>
  </sheets>
  <externalReferences>
    <externalReference r:id="rId11"/>
    <externalReference r:id="rId12"/>
  </externalReferences>
  <definedNames>
    <definedName name="country" localSheetId="8">[1]General!$C$6</definedName>
    <definedName name="country">General!$C$6</definedName>
    <definedName name="fi" localSheetId="8">[1]Settings!$A$4:$A$5</definedName>
    <definedName name="fi">Settings!$A$4:$A$5</definedName>
    <definedName name="gwncc">[2]Settings!$A$10:$A$12</definedName>
    <definedName name="gwncs" localSheetId="8">[1]Settings!$A$10:$A$12</definedName>
    <definedName name="gwncs">Settings!$A$10:$A$12</definedName>
    <definedName name="lncr" localSheetId="8">[1]General!$C$8</definedName>
    <definedName name="lncr">General!$C$8</definedName>
    <definedName name="_xlnm.Print_Area" localSheetId="9">'Capacity BuildingPP'!$A$1:$S$16</definedName>
    <definedName name="_xlnm.Print_Area" localSheetId="3">'Detailed Summary'!$A$2:$W$160</definedName>
    <definedName name="_xlnm.Print_Area" localSheetId="1">General!$A$1:$D$73</definedName>
    <definedName name="_xlnm.Print_Area" localSheetId="2">'Grand Summary'!$A$2:$I$12</definedName>
    <definedName name="_xlnm.Print_Area" localSheetId="7">'Operational CostPP'!$A$4:$AN$35</definedName>
    <definedName name="_xlnm.Print_Area" localSheetId="4">'Summary financial-physical %'!$A$2:$Y$71</definedName>
    <definedName name="_xlnm.Print_Titles" localSheetId="6">'Consulting ServicesPP'!$A:$D,'Consulting ServicesPP'!$5:$5</definedName>
    <definedName name="_xlnm.Print_Titles" localSheetId="3">'Detailed Summary'!$4:$4</definedName>
    <definedName name="_xlnm.Print_Titles" localSheetId="5">'Goods and WorksPP'!$A:$D,'Goods and WorksPP'!$4:$5</definedName>
    <definedName name="_xlnm.Print_Titles" localSheetId="2">'Grand Summary'!$4:$4</definedName>
    <definedName name="_xlnm.Print_Titles" localSheetId="7">'Operational CostPP'!$A:$D,'Operational CostPP'!$4:$5</definedName>
    <definedName name="_xlnm.Print_Titles" localSheetId="8">PMUPP!$5:$5</definedName>
    <definedName name="_xlnm.Print_Titles" localSheetId="4">'Summary financial-physical %'!$4:$4</definedName>
    <definedName name="priorpost" localSheetId="8">[1]Settings!$A$1:$A$2</definedName>
    <definedName name="priorpost">Settings!$A$1:$A$2</definedName>
    <definedName name="projectName" localSheetId="8">[1]General!$C$5</definedName>
    <definedName name="projectName">General!$C$5</definedName>
    <definedName name="projID" localSheetId="8">[1]General!$C$7</definedName>
    <definedName name="projID">General!$C$7</definedName>
    <definedName name="yn" localSheetId="8">[1]Settings!$A$7:$A$8</definedName>
    <definedName name="yn">Settings!$A$7:$A$8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20" l="1"/>
  <c r="C45" i="20"/>
  <c r="D45" i="20"/>
  <c r="E45" i="20"/>
  <c r="F45" i="20"/>
  <c r="L45" i="20"/>
  <c r="B46" i="20"/>
  <c r="C46" i="20"/>
  <c r="D46" i="20"/>
  <c r="E46" i="20"/>
  <c r="F46" i="20"/>
  <c r="L46" i="20"/>
  <c r="B47" i="20"/>
  <c r="C47" i="20"/>
  <c r="D47" i="20"/>
  <c r="E47" i="20"/>
  <c r="F47" i="20"/>
  <c r="L47" i="20"/>
  <c r="B48" i="20"/>
  <c r="C48" i="20"/>
  <c r="D48" i="20"/>
  <c r="E48" i="20"/>
  <c r="F48" i="20"/>
  <c r="L48" i="20"/>
  <c r="B49" i="20"/>
  <c r="C49" i="20"/>
  <c r="D49" i="20"/>
  <c r="E49" i="20"/>
  <c r="F49" i="20"/>
  <c r="L49" i="20"/>
  <c r="B50" i="20"/>
  <c r="C50" i="20"/>
  <c r="D50" i="20"/>
  <c r="E50" i="20"/>
  <c r="F50" i="20"/>
  <c r="L50" i="20"/>
  <c r="B51" i="20"/>
  <c r="C51" i="20"/>
  <c r="D51" i="20"/>
  <c r="E51" i="20"/>
  <c r="F51" i="20"/>
  <c r="L51" i="20"/>
  <c r="B52" i="20"/>
  <c r="C52" i="20"/>
  <c r="D52" i="20"/>
  <c r="E52" i="20"/>
  <c r="F52" i="20"/>
  <c r="L52" i="20"/>
  <c r="B53" i="20"/>
  <c r="C53" i="20"/>
  <c r="D53" i="20"/>
  <c r="E53" i="20"/>
  <c r="F53" i="20"/>
  <c r="L53" i="20"/>
  <c r="B54" i="20"/>
  <c r="C54" i="20"/>
  <c r="D54" i="20"/>
  <c r="E54" i="20"/>
  <c r="F54" i="20"/>
  <c r="L54" i="20"/>
  <c r="B55" i="20"/>
  <c r="C55" i="20"/>
  <c r="D55" i="20"/>
  <c r="E55" i="20"/>
  <c r="F55" i="20"/>
  <c r="L55" i="20"/>
  <c r="B56" i="20"/>
  <c r="C56" i="20"/>
  <c r="D56" i="20"/>
  <c r="E56" i="20"/>
  <c r="F56" i="20"/>
  <c r="L56" i="20"/>
  <c r="B57" i="20"/>
  <c r="C57" i="20"/>
  <c r="D57" i="20"/>
  <c r="E57" i="20"/>
  <c r="F57" i="20"/>
  <c r="L57" i="20"/>
  <c r="B58" i="20"/>
  <c r="C58" i="20"/>
  <c r="D58" i="20"/>
  <c r="E58" i="20"/>
  <c r="F58" i="20"/>
  <c r="L58" i="20"/>
  <c r="B59" i="20"/>
  <c r="C59" i="20"/>
  <c r="D59" i="20"/>
  <c r="E59" i="20"/>
  <c r="F59" i="20"/>
  <c r="L59" i="20"/>
  <c r="U61" i="2" l="1"/>
  <c r="U49" i="2" l="1"/>
  <c r="V49" i="2" s="1"/>
  <c r="W49" i="2" l="1"/>
  <c r="X49" i="2" s="1"/>
  <c r="Y49" i="2" s="1"/>
  <c r="V61" i="2"/>
  <c r="W61" i="2" s="1"/>
  <c r="X61" i="2" s="1"/>
  <c r="Y61" i="2" s="1"/>
  <c r="Q137" i="16" l="1"/>
  <c r="K137" i="16"/>
  <c r="Q118" i="16"/>
  <c r="N118" i="16"/>
  <c r="V118" i="16" s="1"/>
  <c r="W118" i="16" s="1"/>
  <c r="Q115" i="16"/>
  <c r="N115" i="16"/>
  <c r="V115" i="16" s="1"/>
  <c r="W115" i="16" s="1"/>
  <c r="Q112" i="16"/>
  <c r="N112" i="16"/>
  <c r="V112" i="16" s="1"/>
  <c r="W112" i="16" s="1"/>
  <c r="V92" i="16"/>
  <c r="W92" i="16" s="1"/>
  <c r="Q92" i="16"/>
  <c r="N92" i="16"/>
  <c r="Q74" i="16"/>
  <c r="N74" i="16"/>
  <c r="V74" i="16" s="1"/>
  <c r="V43" i="16"/>
  <c r="W43" i="16" s="1"/>
  <c r="Q43" i="16"/>
  <c r="N43" i="16"/>
  <c r="S43" i="16" s="1"/>
  <c r="V16" i="16"/>
  <c r="Q16" i="16"/>
  <c r="N16" i="16"/>
  <c r="W137" i="16" l="1"/>
  <c r="R137" i="16"/>
  <c r="S137" i="16"/>
  <c r="X137" i="16"/>
  <c r="W74" i="16"/>
  <c r="X16" i="16"/>
  <c r="S92" i="16"/>
  <c r="S112" i="16"/>
  <c r="X118" i="16"/>
  <c r="R118" i="16"/>
  <c r="Y118" i="16" s="1"/>
  <c r="S118" i="16"/>
  <c r="X115" i="16"/>
  <c r="R115" i="16"/>
  <c r="Y115" i="16" s="1"/>
  <c r="S115" i="16"/>
  <c r="R112" i="16"/>
  <c r="Y112" i="16" s="1"/>
  <c r="X112" i="16"/>
  <c r="Z112" i="16" s="1"/>
  <c r="X92" i="16"/>
  <c r="R92" i="16"/>
  <c r="Y92" i="16" s="1"/>
  <c r="X74" i="16"/>
  <c r="R74" i="16"/>
  <c r="Y74" i="16" s="1"/>
  <c r="S74" i="16"/>
  <c r="S16" i="16"/>
  <c r="X43" i="16"/>
  <c r="Z43" i="16" s="1"/>
  <c r="R43" i="16"/>
  <c r="Y43" i="16" s="1"/>
  <c r="W16" i="16"/>
  <c r="R16" i="16"/>
  <c r="Z137" i="16" l="1"/>
  <c r="Z92" i="16"/>
  <c r="Z74" i="16"/>
  <c r="Z118" i="16"/>
  <c r="Z115" i="16"/>
  <c r="O49" i="8" l="1"/>
  <c r="Q130" i="16"/>
  <c r="J130" i="16"/>
  <c r="W130" i="16" l="1"/>
  <c r="S130" i="16"/>
  <c r="R130" i="16"/>
  <c r="X130" i="16"/>
  <c r="J121" i="20"/>
  <c r="J106" i="20"/>
  <c r="J95" i="20"/>
  <c r="J89" i="20"/>
  <c r="J86" i="20"/>
  <c r="J80" i="20"/>
  <c r="J77" i="20"/>
  <c r="J74" i="20"/>
  <c r="J71" i="20"/>
  <c r="J68" i="20"/>
  <c r="J65" i="20"/>
  <c r="J62" i="20"/>
  <c r="J39" i="20"/>
  <c r="J36" i="20"/>
  <c r="J33" i="20"/>
  <c r="J30" i="20"/>
  <c r="J24" i="20"/>
  <c r="J21" i="20"/>
  <c r="J12" i="20"/>
  <c r="J18" i="20"/>
  <c r="J15" i="20"/>
  <c r="J9" i="20"/>
  <c r="J6" i="20"/>
  <c r="Z130" i="16" l="1"/>
  <c r="J4" i="20"/>
  <c r="D59" i="23" l="1"/>
  <c r="D60" i="23"/>
  <c r="D58" i="23"/>
  <c r="X104" i="20"/>
  <c r="F103" i="20"/>
  <c r="C103" i="20"/>
  <c r="B103" i="20"/>
  <c r="F102" i="20"/>
  <c r="C102" i="20"/>
  <c r="B102" i="20"/>
  <c r="Q101" i="20"/>
  <c r="O101" i="20"/>
  <c r="N101" i="20"/>
  <c r="M101" i="20"/>
  <c r="L101" i="20"/>
  <c r="F101" i="20"/>
  <c r="E101" i="20"/>
  <c r="E60" i="23" s="1"/>
  <c r="C101" i="20"/>
  <c r="C60" i="23" s="1"/>
  <c r="B101" i="20"/>
  <c r="B60" i="23" s="1"/>
  <c r="F100" i="20"/>
  <c r="C100" i="20"/>
  <c r="B100" i="20"/>
  <c r="F99" i="20"/>
  <c r="C99" i="20"/>
  <c r="B99" i="20"/>
  <c r="Q98" i="20"/>
  <c r="O98" i="20"/>
  <c r="N98" i="20"/>
  <c r="M98" i="20"/>
  <c r="L98" i="20"/>
  <c r="F98" i="20"/>
  <c r="E98" i="20"/>
  <c r="E59" i="23" s="1"/>
  <c r="C98" i="20"/>
  <c r="C59" i="23" s="1"/>
  <c r="B98" i="20"/>
  <c r="B59" i="23" s="1"/>
  <c r="F97" i="20"/>
  <c r="C97" i="20"/>
  <c r="B97" i="20"/>
  <c r="F96" i="20"/>
  <c r="C96" i="20"/>
  <c r="B96" i="20"/>
  <c r="Q95" i="20"/>
  <c r="L95" i="20"/>
  <c r="F95" i="20"/>
  <c r="E95" i="20"/>
  <c r="E58" i="23" s="1"/>
  <c r="C95" i="20"/>
  <c r="C58" i="23" s="1"/>
  <c r="B95" i="20"/>
  <c r="B58" i="23" s="1"/>
  <c r="K89" i="2" l="1"/>
  <c r="M95" i="20" l="1"/>
  <c r="G43" i="8"/>
  <c r="I45" i="8" s="1"/>
  <c r="I43" i="8" l="1"/>
  <c r="H44" i="8"/>
  <c r="AJ43" i="8"/>
  <c r="AN43" i="8" s="1"/>
  <c r="O95" i="20"/>
  <c r="I44" i="8"/>
  <c r="H45" i="8"/>
  <c r="R95" i="20"/>
  <c r="N95" i="20"/>
  <c r="AK43" i="8"/>
  <c r="U95" i="20" s="1"/>
  <c r="H43" i="8"/>
  <c r="AI43" i="8"/>
  <c r="AM43" i="8" l="1"/>
  <c r="W95" i="20" s="1"/>
  <c r="S95" i="20"/>
  <c r="AL43" i="8"/>
  <c r="V95" i="20" s="1"/>
  <c r="AK49" i="8"/>
  <c r="U101" i="20" s="1"/>
  <c r="G49" i="8"/>
  <c r="G46" i="8"/>
  <c r="H47" i="8" l="1"/>
  <c r="H46" i="8"/>
  <c r="I47" i="8"/>
  <c r="I48" i="8"/>
  <c r="I46" i="8"/>
  <c r="H48" i="8"/>
  <c r="I51" i="8"/>
  <c r="H49" i="8"/>
  <c r="I50" i="8"/>
  <c r="H51" i="8"/>
  <c r="I49" i="8"/>
  <c r="H50" i="8"/>
  <c r="R98" i="20"/>
  <c r="R101" i="20"/>
  <c r="AI49" i="8"/>
  <c r="S101" i="20" s="1"/>
  <c r="AJ49" i="8"/>
  <c r="AN49" i="8" s="1"/>
  <c r="AK46" i="8"/>
  <c r="U98" i="20" s="1"/>
  <c r="AL46" i="8"/>
  <c r="V98" i="20" s="1"/>
  <c r="AI46" i="8"/>
  <c r="AJ46" i="8"/>
  <c r="AN46" i="8" s="1"/>
  <c r="AM46" i="8" l="1"/>
  <c r="W98" i="20" s="1"/>
  <c r="S98" i="20"/>
  <c r="AM49" i="8"/>
  <c r="W101" i="20" s="1"/>
  <c r="AL49" i="8"/>
  <c r="V101" i="20" s="1"/>
  <c r="X55" i="2" l="1"/>
  <c r="Y55" i="2"/>
  <c r="S61" i="2"/>
  <c r="S55" i="2"/>
  <c r="S49" i="2"/>
  <c r="Q55" i="2"/>
  <c r="Q49" i="2"/>
  <c r="S37" i="8"/>
  <c r="R37" i="8" s="1"/>
  <c r="Q37" i="8" s="1"/>
  <c r="P37" i="8" s="1"/>
  <c r="O37" i="8" s="1"/>
  <c r="V37" i="8"/>
  <c r="X37" i="8"/>
  <c r="V55" i="2"/>
  <c r="D53" i="23" l="1"/>
  <c r="D54" i="23"/>
  <c r="D55" i="23"/>
  <c r="D56" i="23"/>
  <c r="D57" i="23"/>
  <c r="D61" i="23"/>
  <c r="E61" i="23"/>
  <c r="C53" i="23"/>
  <c r="C54" i="23"/>
  <c r="C61" i="23"/>
  <c r="B61" i="23"/>
  <c r="X59" i="20"/>
  <c r="W59" i="20"/>
  <c r="V59" i="20"/>
  <c r="U59" i="20"/>
  <c r="S59" i="20"/>
  <c r="R59" i="20"/>
  <c r="Q59" i="20"/>
  <c r="O59" i="20"/>
  <c r="N59" i="20"/>
  <c r="M59" i="20"/>
  <c r="X58" i="20"/>
  <c r="W58" i="20"/>
  <c r="V58" i="20"/>
  <c r="U58" i="20"/>
  <c r="S58" i="20"/>
  <c r="R58" i="20"/>
  <c r="Q58" i="20"/>
  <c r="O58" i="20"/>
  <c r="N58" i="20"/>
  <c r="M58" i="20"/>
  <c r="X57" i="20"/>
  <c r="Q57" i="20"/>
  <c r="D68" i="23"/>
  <c r="C68" i="23"/>
  <c r="B68" i="23"/>
  <c r="X56" i="20"/>
  <c r="W56" i="20"/>
  <c r="V56" i="20"/>
  <c r="U56" i="20"/>
  <c r="S56" i="20"/>
  <c r="R56" i="20"/>
  <c r="Q56" i="20"/>
  <c r="O56" i="20"/>
  <c r="N56" i="20"/>
  <c r="M56" i="20"/>
  <c r="X55" i="20"/>
  <c r="W55" i="20"/>
  <c r="V55" i="20"/>
  <c r="U55" i="20"/>
  <c r="S55" i="20"/>
  <c r="R55" i="20"/>
  <c r="Q55" i="20"/>
  <c r="O55" i="20"/>
  <c r="N55" i="20"/>
  <c r="M55" i="20"/>
  <c r="X54" i="20"/>
  <c r="Q54" i="20"/>
  <c r="D67" i="23"/>
  <c r="C67" i="23"/>
  <c r="B67" i="23"/>
  <c r="X53" i="20"/>
  <c r="W53" i="20"/>
  <c r="V53" i="20"/>
  <c r="U53" i="20"/>
  <c r="S53" i="20"/>
  <c r="R53" i="20"/>
  <c r="Q53" i="20"/>
  <c r="O53" i="20"/>
  <c r="N53" i="20"/>
  <c r="M53" i="20"/>
  <c r="X52" i="20"/>
  <c r="W52" i="20"/>
  <c r="V52" i="20"/>
  <c r="U52" i="20"/>
  <c r="S52" i="20"/>
  <c r="R52" i="20"/>
  <c r="Q52" i="20"/>
  <c r="O52" i="20"/>
  <c r="N52" i="20"/>
  <c r="M52" i="20"/>
  <c r="X51" i="20"/>
  <c r="Q51" i="20"/>
  <c r="D66" i="23"/>
  <c r="C66" i="23"/>
  <c r="B66" i="23"/>
  <c r="X50" i="20"/>
  <c r="W50" i="20"/>
  <c r="V50" i="20"/>
  <c r="U50" i="20"/>
  <c r="S50" i="20"/>
  <c r="R50" i="20"/>
  <c r="Q50" i="20"/>
  <c r="O50" i="20"/>
  <c r="N50" i="20"/>
  <c r="M50" i="20"/>
  <c r="X49" i="20"/>
  <c r="W49" i="20"/>
  <c r="V49" i="20"/>
  <c r="U49" i="20"/>
  <c r="S49" i="20"/>
  <c r="R49" i="20"/>
  <c r="Q49" i="20"/>
  <c r="O49" i="20"/>
  <c r="N49" i="20"/>
  <c r="M49" i="20"/>
  <c r="X48" i="20"/>
  <c r="Q48" i="20"/>
  <c r="D65" i="23"/>
  <c r="C65" i="23"/>
  <c r="B65" i="23"/>
  <c r="X47" i="20"/>
  <c r="W47" i="20"/>
  <c r="V47" i="20"/>
  <c r="U47" i="20"/>
  <c r="S47" i="20"/>
  <c r="R47" i="20"/>
  <c r="Q47" i="20"/>
  <c r="O47" i="20"/>
  <c r="N47" i="20"/>
  <c r="M47" i="20"/>
  <c r="X46" i="20"/>
  <c r="W46" i="20"/>
  <c r="V46" i="20"/>
  <c r="U46" i="20"/>
  <c r="S46" i="20"/>
  <c r="R46" i="20"/>
  <c r="Q46" i="20"/>
  <c r="O46" i="20"/>
  <c r="N46" i="20"/>
  <c r="M46" i="20"/>
  <c r="X45" i="20"/>
  <c r="Q45" i="20"/>
  <c r="D64" i="23"/>
  <c r="C64" i="23"/>
  <c r="B64" i="23"/>
  <c r="F94" i="20"/>
  <c r="C94" i="20"/>
  <c r="B94" i="20"/>
  <c r="F93" i="20"/>
  <c r="C93" i="20"/>
  <c r="B93" i="20"/>
  <c r="S92" i="20"/>
  <c r="R92" i="20"/>
  <c r="M92" i="20"/>
  <c r="L92" i="20"/>
  <c r="F92" i="20"/>
  <c r="E92" i="20"/>
  <c r="E57" i="23" s="1"/>
  <c r="C92" i="20"/>
  <c r="C57" i="23" s="1"/>
  <c r="B92" i="20"/>
  <c r="B57" i="23" s="1"/>
  <c r="AJ40" i="8"/>
  <c r="AN40" i="8" s="1"/>
  <c r="G40" i="8"/>
  <c r="AL40" i="8" s="1"/>
  <c r="AJ37" i="8"/>
  <c r="AN37" i="8" s="1"/>
  <c r="AK37" i="8"/>
  <c r="U92" i="20" s="1"/>
  <c r="G37" i="8"/>
  <c r="AL37" i="8" s="1"/>
  <c r="V92" i="20" s="1"/>
  <c r="AT61" i="2"/>
  <c r="U57" i="20"/>
  <c r="AB61" i="2"/>
  <c r="AS61" i="2" s="1"/>
  <c r="H61" i="2"/>
  <c r="J63" i="2" s="1"/>
  <c r="AT58" i="2"/>
  <c r="U54" i="20"/>
  <c r="AB58" i="2"/>
  <c r="AS58" i="2" s="1"/>
  <c r="H58" i="2"/>
  <c r="J59" i="2" s="1"/>
  <c r="AT55" i="2"/>
  <c r="U51" i="20"/>
  <c r="AB55" i="2"/>
  <c r="AS55" i="2" s="1"/>
  <c r="H55" i="2"/>
  <c r="J57" i="2" s="1"/>
  <c r="AT52" i="2"/>
  <c r="U48" i="20"/>
  <c r="AB52" i="2"/>
  <c r="AS52" i="2" s="1"/>
  <c r="H52" i="2"/>
  <c r="J54" i="2" s="1"/>
  <c r="AT49" i="2"/>
  <c r="U45" i="20"/>
  <c r="AB49" i="2"/>
  <c r="AS49" i="2" s="1"/>
  <c r="H49" i="2"/>
  <c r="J51" i="2" s="1"/>
  <c r="AM40" i="8" l="1"/>
  <c r="J49" i="2"/>
  <c r="E64" i="23"/>
  <c r="S45" i="20"/>
  <c r="AM37" i="8"/>
  <c r="W92" i="20" s="1"/>
  <c r="M45" i="20"/>
  <c r="J61" i="2"/>
  <c r="M51" i="20"/>
  <c r="E68" i="23"/>
  <c r="E66" i="23"/>
  <c r="M57" i="20"/>
  <c r="N92" i="20"/>
  <c r="AK40" i="8"/>
  <c r="Q92" i="20"/>
  <c r="AM58" i="2"/>
  <c r="M54" i="20"/>
  <c r="E67" i="23"/>
  <c r="E65" i="23"/>
  <c r="M48" i="20"/>
  <c r="R57" i="20"/>
  <c r="I62" i="2"/>
  <c r="S57" i="20"/>
  <c r="J62" i="2"/>
  <c r="S51" i="20"/>
  <c r="J55" i="2"/>
  <c r="J56" i="2"/>
  <c r="R51" i="20"/>
  <c r="I56" i="2"/>
  <c r="R48" i="20"/>
  <c r="I52" i="2"/>
  <c r="J52" i="2"/>
  <c r="I53" i="2"/>
  <c r="AD49" i="2"/>
  <c r="I49" i="2"/>
  <c r="R45" i="20"/>
  <c r="I50" i="2"/>
  <c r="AC58" i="2"/>
  <c r="N54" i="20" s="1"/>
  <c r="I60" i="2"/>
  <c r="I58" i="2"/>
  <c r="AD58" i="2"/>
  <c r="O54" i="20" s="1"/>
  <c r="J60" i="2"/>
  <c r="AC55" i="2"/>
  <c r="AM55" i="2"/>
  <c r="I57" i="2"/>
  <c r="J58" i="2"/>
  <c r="R54" i="20"/>
  <c r="I59" i="2"/>
  <c r="AC61" i="2"/>
  <c r="AM61" i="2"/>
  <c r="I63" i="2"/>
  <c r="I55" i="2"/>
  <c r="AD55" i="2"/>
  <c r="S54" i="20"/>
  <c r="I61" i="2"/>
  <c r="AD61" i="2"/>
  <c r="S48" i="20"/>
  <c r="J53" i="2"/>
  <c r="AC52" i="2"/>
  <c r="AM52" i="2"/>
  <c r="I54" i="2"/>
  <c r="AD52" i="2"/>
  <c r="O48" i="20" s="1"/>
  <c r="J50" i="2"/>
  <c r="AC49" i="2"/>
  <c r="AM49" i="2"/>
  <c r="I51" i="2"/>
  <c r="W45" i="20" l="1"/>
  <c r="O45" i="20"/>
  <c r="V45" i="20"/>
  <c r="N45" i="20"/>
  <c r="O92" i="20"/>
  <c r="W51" i="20"/>
  <c r="O51" i="20"/>
  <c r="W57" i="20"/>
  <c r="O57" i="20"/>
  <c r="V57" i="20"/>
  <c r="N57" i="20"/>
  <c r="V51" i="20"/>
  <c r="N51" i="20"/>
  <c r="V48" i="20"/>
  <c r="N48" i="20"/>
  <c r="W48" i="20"/>
  <c r="V54" i="20"/>
  <c r="W54" i="20"/>
  <c r="Q138" i="16" l="1"/>
  <c r="K138" i="16"/>
  <c r="W138" i="16" l="1"/>
  <c r="R138" i="16"/>
  <c r="S138" i="16"/>
  <c r="X138" i="16"/>
  <c r="Z138" i="16" l="1"/>
  <c r="F91" i="20" l="1"/>
  <c r="C91" i="20"/>
  <c r="B91" i="20"/>
  <c r="F90" i="20"/>
  <c r="C90" i="20"/>
  <c r="B90" i="20"/>
  <c r="S89" i="20"/>
  <c r="R89" i="20"/>
  <c r="M89" i="20"/>
  <c r="L89" i="20"/>
  <c r="F89" i="20"/>
  <c r="E89" i="20"/>
  <c r="E56" i="23" s="1"/>
  <c r="C89" i="20"/>
  <c r="C56" i="23" s="1"/>
  <c r="B89" i="20"/>
  <c r="B56" i="23" s="1"/>
  <c r="AK34" i="8"/>
  <c r="U89" i="20" s="1"/>
  <c r="G34" i="8"/>
  <c r="O89" i="20" s="1"/>
  <c r="N89" i="20" l="1"/>
  <c r="H56" i="23"/>
  <c r="I56" i="23" s="1"/>
  <c r="Q89" i="20"/>
  <c r="AM34" i="8"/>
  <c r="W89" i="20" s="1"/>
  <c r="AJ34" i="8"/>
  <c r="AN34" i="8" s="1"/>
  <c r="AL34" i="8" l="1"/>
  <c r="V89" i="20" s="1"/>
  <c r="Q117" i="16" l="1"/>
  <c r="N117" i="16"/>
  <c r="V117" i="16" s="1"/>
  <c r="W117" i="16" s="1"/>
  <c r="Q114" i="16"/>
  <c r="N114" i="16"/>
  <c r="V114" i="16" s="1"/>
  <c r="W114" i="16" s="1"/>
  <c r="Q111" i="16"/>
  <c r="N111" i="16"/>
  <c r="V111" i="16" s="1"/>
  <c r="W111" i="16" s="1"/>
  <c r="Q107" i="16"/>
  <c r="N107" i="16"/>
  <c r="V107" i="16" s="1"/>
  <c r="W107" i="16" s="1"/>
  <c r="Q100" i="16"/>
  <c r="N100" i="16"/>
  <c r="V100" i="16" s="1"/>
  <c r="W100" i="16" s="1"/>
  <c r="Q91" i="16"/>
  <c r="N91" i="16"/>
  <c r="V91" i="16" s="1"/>
  <c r="W91" i="16" s="1"/>
  <c r="Q82" i="16"/>
  <c r="N82" i="16"/>
  <c r="V82" i="16" s="1"/>
  <c r="W82" i="16" s="1"/>
  <c r="V73" i="16"/>
  <c r="W73" i="16" s="1"/>
  <c r="Q73" i="16"/>
  <c r="N73" i="16"/>
  <c r="Q65" i="16"/>
  <c r="N65" i="16"/>
  <c r="V65" i="16" s="1"/>
  <c r="W65" i="16" s="1"/>
  <c r="Q55" i="16"/>
  <c r="S55" i="16" s="1"/>
  <c r="N55" i="16"/>
  <c r="V55" i="16" s="1"/>
  <c r="W55" i="16" s="1"/>
  <c r="Q42" i="16"/>
  <c r="N42" i="16"/>
  <c r="Q15" i="16"/>
  <c r="N15" i="16"/>
  <c r="V15" i="16" s="1"/>
  <c r="W15" i="16" s="1"/>
  <c r="S42" i="16" l="1"/>
  <c r="S114" i="16"/>
  <c r="X73" i="16"/>
  <c r="V42" i="16"/>
  <c r="W42" i="16" s="1"/>
  <c r="S73" i="16"/>
  <c r="S91" i="16"/>
  <c r="X117" i="16"/>
  <c r="R117" i="16"/>
  <c r="Y117" i="16" s="1"/>
  <c r="S117" i="16"/>
  <c r="R114" i="16"/>
  <c r="Y114" i="16" s="1"/>
  <c r="X114" i="16"/>
  <c r="Z114" i="16" s="1"/>
  <c r="X111" i="16"/>
  <c r="R111" i="16"/>
  <c r="Y111" i="16" s="1"/>
  <c r="S111" i="16"/>
  <c r="X107" i="16"/>
  <c r="R107" i="16"/>
  <c r="Y107" i="16" s="1"/>
  <c r="S107" i="16"/>
  <c r="X100" i="16"/>
  <c r="R100" i="16"/>
  <c r="Y100" i="16" s="1"/>
  <c r="S100" i="16"/>
  <c r="R91" i="16"/>
  <c r="Y91" i="16" s="1"/>
  <c r="X91" i="16"/>
  <c r="X82" i="16"/>
  <c r="R82" i="16"/>
  <c r="Y82" i="16" s="1"/>
  <c r="S82" i="16"/>
  <c r="R73" i="16"/>
  <c r="Y73" i="16" s="1"/>
  <c r="X65" i="16"/>
  <c r="R65" i="16"/>
  <c r="Y65" i="16" s="1"/>
  <c r="S65" i="16"/>
  <c r="R55" i="16"/>
  <c r="Y55" i="16" s="1"/>
  <c r="X55" i="16"/>
  <c r="Z55" i="16" s="1"/>
  <c r="R42" i="16"/>
  <c r="X15" i="16"/>
  <c r="R15" i="16"/>
  <c r="Y15" i="16" s="1"/>
  <c r="S15" i="16"/>
  <c r="Z73" i="16" l="1"/>
  <c r="Y42" i="16"/>
  <c r="Z91" i="16"/>
  <c r="Z65" i="16"/>
  <c r="Z82" i="16"/>
  <c r="Z107" i="16"/>
  <c r="X42" i="16"/>
  <c r="Z42" i="16" s="1"/>
  <c r="Z100" i="16"/>
  <c r="Z15" i="16"/>
  <c r="Z111" i="16"/>
  <c r="Z117" i="16"/>
  <c r="W132" i="16" l="1"/>
  <c r="W135" i="16"/>
  <c r="Q129" i="16"/>
  <c r="J129" i="16"/>
  <c r="S129" i="16" l="1"/>
  <c r="W129" i="16"/>
  <c r="R129" i="16"/>
  <c r="X129" i="16" l="1"/>
  <c r="Z129" i="16" s="1"/>
  <c r="AB28" i="2" l="1"/>
  <c r="F30" i="2" l="1"/>
  <c r="V10" i="8"/>
  <c r="V63" i="23" l="1"/>
  <c r="U63" i="23"/>
  <c r="J63" i="23"/>
  <c r="J62" i="23"/>
  <c r="C63" i="23"/>
  <c r="C62" i="23"/>
  <c r="K136" i="16" l="1"/>
  <c r="K63" i="23" l="1"/>
  <c r="U62" i="23" l="1"/>
  <c r="V62" i="23"/>
  <c r="Q135" i="16" l="1"/>
  <c r="X135" i="16" s="1"/>
  <c r="Z135" i="16" s="1"/>
  <c r="J135" i="16"/>
  <c r="R135" i="16" l="1"/>
  <c r="AH38" i="2" l="1"/>
  <c r="V30" i="2"/>
  <c r="V39" i="2" l="1"/>
  <c r="AF7" i="8" l="1"/>
  <c r="AD21" i="19"/>
  <c r="F5" i="4" l="1"/>
  <c r="F4" i="4"/>
  <c r="W155" i="20" s="1"/>
  <c r="Q136" i="16"/>
  <c r="Q134" i="16"/>
  <c r="W134" i="16"/>
  <c r="J134" i="16"/>
  <c r="Q133" i="16"/>
  <c r="W133" i="16"/>
  <c r="Q132" i="16"/>
  <c r="X132" i="16" s="1"/>
  <c r="Q131" i="16"/>
  <c r="J131" i="16"/>
  <c r="Q128" i="16"/>
  <c r="W131" i="16"/>
  <c r="J128" i="16"/>
  <c r="Q127" i="16"/>
  <c r="R127" i="16"/>
  <c r="Q126" i="16"/>
  <c r="W125" i="16"/>
  <c r="Q125" i="16"/>
  <c r="S125" i="16" s="1"/>
  <c r="W124" i="16"/>
  <c r="Q124" i="16"/>
  <c r="R124" i="16" s="1"/>
  <c r="U123" i="16"/>
  <c r="Q123" i="16"/>
  <c r="Q119" i="16"/>
  <c r="N119" i="16"/>
  <c r="Q116" i="16"/>
  <c r="N116" i="16"/>
  <c r="Q113" i="16"/>
  <c r="N113" i="16"/>
  <c r="Q110" i="16"/>
  <c r="N110" i="16"/>
  <c r="Q109" i="16"/>
  <c r="N109" i="16"/>
  <c r="Q108" i="16"/>
  <c r="N108" i="16"/>
  <c r="Q106" i="16"/>
  <c r="N106" i="16"/>
  <c r="Q105" i="16"/>
  <c r="N105" i="16"/>
  <c r="Q104" i="16"/>
  <c r="N104" i="16"/>
  <c r="Q103" i="16"/>
  <c r="S103" i="16" s="1"/>
  <c r="Q102" i="16"/>
  <c r="K102" i="16"/>
  <c r="Q101" i="16"/>
  <c r="N101" i="16"/>
  <c r="Q99" i="16"/>
  <c r="N99" i="16"/>
  <c r="Q98" i="16"/>
  <c r="N98" i="16"/>
  <c r="Q97" i="16"/>
  <c r="N97" i="16"/>
  <c r="Q96" i="16"/>
  <c r="L96" i="16"/>
  <c r="Q95" i="16"/>
  <c r="Q94" i="16"/>
  <c r="S94" i="16" s="1"/>
  <c r="Q93" i="16"/>
  <c r="N93" i="16"/>
  <c r="V93" i="16" s="1"/>
  <c r="Q90" i="16"/>
  <c r="N90" i="16"/>
  <c r="Q89" i="16"/>
  <c r="N89" i="16"/>
  <c r="Q88" i="16"/>
  <c r="Q87" i="16"/>
  <c r="S87" i="16" s="1"/>
  <c r="L87" i="16"/>
  <c r="L88" i="16" s="1"/>
  <c r="N88" i="16" s="1"/>
  <c r="Q86" i="16"/>
  <c r="S86" i="16" s="1"/>
  <c r="Q85" i="16"/>
  <c r="R85" i="16" s="1"/>
  <c r="W84" i="16"/>
  <c r="Q84" i="16"/>
  <c r="S84" i="16" s="1"/>
  <c r="Q83" i="16"/>
  <c r="N83" i="16"/>
  <c r="Q81" i="16"/>
  <c r="N81" i="16"/>
  <c r="Q80" i="16"/>
  <c r="N80" i="16"/>
  <c r="Q79" i="16"/>
  <c r="Q78" i="16"/>
  <c r="S78" i="16" s="1"/>
  <c r="L78" i="16"/>
  <c r="L79" i="16" s="1"/>
  <c r="N79" i="16" s="1"/>
  <c r="Q77" i="16"/>
  <c r="S77" i="16" s="1"/>
  <c r="Q76" i="16"/>
  <c r="Q75" i="16"/>
  <c r="N75" i="16"/>
  <c r="Q72" i="16"/>
  <c r="N72" i="16"/>
  <c r="Q71" i="16"/>
  <c r="N71" i="16"/>
  <c r="Q70" i="16"/>
  <c r="N70" i="16"/>
  <c r="Q69" i="16"/>
  <c r="N69" i="16"/>
  <c r="L69" i="16"/>
  <c r="Q68" i="16"/>
  <c r="Q67" i="16"/>
  <c r="S67" i="16" s="1"/>
  <c r="Q66" i="16"/>
  <c r="N66" i="16"/>
  <c r="Q64" i="16"/>
  <c r="N64" i="16"/>
  <c r="Q63" i="16"/>
  <c r="N63" i="16"/>
  <c r="Q62" i="16"/>
  <c r="Q61" i="16"/>
  <c r="L61" i="16"/>
  <c r="L62" i="16" s="1"/>
  <c r="N62" i="16" s="1"/>
  <c r="Q60" i="16"/>
  <c r="R60" i="16" s="1"/>
  <c r="Q59" i="16"/>
  <c r="V58" i="16"/>
  <c r="W58" i="16" s="1"/>
  <c r="Q58" i="16"/>
  <c r="S58" i="16" s="1"/>
  <c r="Q57" i="16"/>
  <c r="Q56" i="16"/>
  <c r="N56" i="16"/>
  <c r="Q54" i="16"/>
  <c r="N54" i="16"/>
  <c r="Q53" i="16"/>
  <c r="N53" i="16"/>
  <c r="Q52" i="16"/>
  <c r="Q51" i="16"/>
  <c r="R51" i="16" s="1"/>
  <c r="L51" i="16"/>
  <c r="L52" i="16" s="1"/>
  <c r="N52" i="16" s="1"/>
  <c r="Q50" i="16"/>
  <c r="R50" i="16" s="1"/>
  <c r="Q49" i="16"/>
  <c r="S49" i="16" s="1"/>
  <c r="Q48" i="16"/>
  <c r="N48" i="16"/>
  <c r="Q47" i="16"/>
  <c r="L47" i="16"/>
  <c r="Q46" i="16"/>
  <c r="Q45" i="16"/>
  <c r="S45" i="16" s="1"/>
  <c r="Q44" i="16"/>
  <c r="N44" i="16"/>
  <c r="Q41" i="16"/>
  <c r="N41" i="16"/>
  <c r="Q40" i="16"/>
  <c r="N40" i="16"/>
  <c r="Q39" i="16"/>
  <c r="Q38" i="16"/>
  <c r="S38" i="16" s="1"/>
  <c r="L38" i="16"/>
  <c r="L39" i="16" s="1"/>
  <c r="N39" i="16" s="1"/>
  <c r="Q37" i="16"/>
  <c r="S37" i="16" s="1"/>
  <c r="Q36" i="16"/>
  <c r="R36" i="16" s="1"/>
  <c r="Q35" i="16"/>
  <c r="N35" i="16"/>
  <c r="Q34" i="16"/>
  <c r="L34" i="16"/>
  <c r="N34" i="16" s="1"/>
  <c r="W33" i="16"/>
  <c r="Q33" i="16"/>
  <c r="L33" i="16"/>
  <c r="N33" i="16" s="1"/>
  <c r="Q32" i="16"/>
  <c r="S32" i="16" s="1"/>
  <c r="Q31" i="16"/>
  <c r="Q30" i="16"/>
  <c r="S30" i="16" s="1"/>
  <c r="Q29" i="16"/>
  <c r="N29" i="16"/>
  <c r="W28" i="16"/>
  <c r="Q28" i="16"/>
  <c r="X28" i="16" s="1"/>
  <c r="Q27" i="16"/>
  <c r="L27" i="16"/>
  <c r="W26" i="16"/>
  <c r="Q26" i="16"/>
  <c r="X26" i="16" s="1"/>
  <c r="Q25" i="16"/>
  <c r="R25" i="16" s="1"/>
  <c r="Q24" i="16"/>
  <c r="Q23" i="16"/>
  <c r="S23" i="16" s="1"/>
  <c r="Q22" i="16"/>
  <c r="N22" i="16"/>
  <c r="Q21" i="16"/>
  <c r="R21" i="16" s="1"/>
  <c r="L21" i="16"/>
  <c r="Q20" i="16"/>
  <c r="L20" i="16"/>
  <c r="U19" i="16"/>
  <c r="Q19" i="16"/>
  <c r="S19" i="16" s="1"/>
  <c r="U18" i="16"/>
  <c r="Q18" i="16"/>
  <c r="S18" i="16" s="1"/>
  <c r="Q17" i="16"/>
  <c r="N17" i="16"/>
  <c r="Q14" i="16"/>
  <c r="N14" i="16"/>
  <c r="Q13" i="16"/>
  <c r="N13" i="16"/>
  <c r="Q12" i="16"/>
  <c r="N12" i="16"/>
  <c r="Q11" i="16"/>
  <c r="N11" i="16"/>
  <c r="Q10" i="16"/>
  <c r="L10" i="16"/>
  <c r="N10" i="16" s="1"/>
  <c r="W9" i="16"/>
  <c r="Q9" i="16"/>
  <c r="X9" i="16" s="1"/>
  <c r="Q8" i="16"/>
  <c r="R8" i="16" s="1"/>
  <c r="Q7" i="16"/>
  <c r="S7" i="16" s="1"/>
  <c r="Q6" i="16"/>
  <c r="AK45" i="19"/>
  <c r="H45" i="19"/>
  <c r="I46" i="19" s="1"/>
  <c r="AK42" i="19"/>
  <c r="AB42" i="19"/>
  <c r="AC42" i="19" s="1"/>
  <c r="N142" i="20" s="1"/>
  <c r="H42" i="19"/>
  <c r="I44" i="19" s="1"/>
  <c r="H144" i="20" s="1"/>
  <c r="I40" i="19"/>
  <c r="H140" i="20" s="1"/>
  <c r="AB39" i="19"/>
  <c r="AK39" i="19" s="1"/>
  <c r="H39" i="19"/>
  <c r="AK36" i="19"/>
  <c r="I36" i="19"/>
  <c r="H136" i="20" s="1"/>
  <c r="H36" i="19"/>
  <c r="AJ36" i="19" s="1"/>
  <c r="AM36" i="19" s="1"/>
  <c r="AB33" i="19"/>
  <c r="H33" i="19"/>
  <c r="AB30" i="19"/>
  <c r="H30" i="19"/>
  <c r="J31" i="19" s="1"/>
  <c r="Y28" i="19"/>
  <c r="AG28" i="19" s="1"/>
  <c r="AB27" i="19"/>
  <c r="H27" i="19"/>
  <c r="AD27" i="19" s="1"/>
  <c r="Y25" i="19"/>
  <c r="AG25" i="19" s="1"/>
  <c r="AB24" i="19"/>
  <c r="AK24" i="19" s="1"/>
  <c r="U124" i="20" s="1"/>
  <c r="H24" i="19"/>
  <c r="J25" i="19" s="1"/>
  <c r="J24" i="19"/>
  <c r="I124" i="20" s="1"/>
  <c r="AL21" i="19"/>
  <c r="AB21" i="19"/>
  <c r="AK21" i="19" s="1"/>
  <c r="Y21" i="19"/>
  <c r="H21" i="19"/>
  <c r="J22" i="19" s="1"/>
  <c r="Y19" i="19"/>
  <c r="AG19" i="19" s="1"/>
  <c r="AB18" i="19"/>
  <c r="H18" i="19"/>
  <c r="Y16" i="19"/>
  <c r="AG16" i="19" s="1"/>
  <c r="AB15" i="19"/>
  <c r="H15" i="19"/>
  <c r="Y13" i="19"/>
  <c r="AG13" i="19" s="1"/>
  <c r="AB12" i="19"/>
  <c r="AK12" i="19" s="1"/>
  <c r="U112" i="20" s="1"/>
  <c r="I12" i="19"/>
  <c r="H112" i="20" s="1"/>
  <c r="H12" i="19"/>
  <c r="J14" i="19" s="1"/>
  <c r="I114" i="20" s="1"/>
  <c r="Y10" i="19"/>
  <c r="AG10" i="19" s="1"/>
  <c r="AB9" i="19"/>
  <c r="H9" i="19"/>
  <c r="AI9" i="19" s="1"/>
  <c r="AH6" i="19"/>
  <c r="AB6" i="19"/>
  <c r="H6" i="19"/>
  <c r="J8" i="19" s="1"/>
  <c r="I108" i="20" s="1"/>
  <c r="B2" i="19"/>
  <c r="G31" i="8"/>
  <c r="AN28" i="8"/>
  <c r="AM28" i="8"/>
  <c r="AL28" i="8"/>
  <c r="V83" i="20" s="1"/>
  <c r="AK28" i="8"/>
  <c r="U83" i="20" s="1"/>
  <c r="AJ28" i="8"/>
  <c r="Y25" i="8"/>
  <c r="M80" i="20" s="1"/>
  <c r="G25" i="8"/>
  <c r="I27" i="8" s="1"/>
  <c r="M77" i="20"/>
  <c r="G22" i="8"/>
  <c r="AN19" i="8"/>
  <c r="AJ19" i="8"/>
  <c r="G19" i="8"/>
  <c r="E17" i="8"/>
  <c r="Q71" i="20"/>
  <c r="G15" i="8"/>
  <c r="H18" i="8" s="1"/>
  <c r="M68" i="20"/>
  <c r="G12" i="8"/>
  <c r="I13" i="8" s="1"/>
  <c r="W10" i="8"/>
  <c r="G9" i="8"/>
  <c r="M62" i="20"/>
  <c r="G6" i="8"/>
  <c r="I8" i="8" s="1"/>
  <c r="B2" i="8"/>
  <c r="AT46" i="2"/>
  <c r="AB46" i="2"/>
  <c r="AS46" i="2" s="1"/>
  <c r="H46" i="2"/>
  <c r="I48" i="2" s="1"/>
  <c r="AT43" i="2"/>
  <c r="AB43" i="2"/>
  <c r="H43" i="2"/>
  <c r="J44" i="2" s="1"/>
  <c r="AT40" i="2"/>
  <c r="AB40" i="2"/>
  <c r="H40" i="2"/>
  <c r="J41" i="2" s="1"/>
  <c r="AT37" i="2"/>
  <c r="U33" i="20"/>
  <c r="AB37" i="2"/>
  <c r="H37" i="2"/>
  <c r="J39" i="2" s="1"/>
  <c r="R36" i="2"/>
  <c r="AH35" i="2"/>
  <c r="AT34" i="2"/>
  <c r="AH34" i="2"/>
  <c r="AB34" i="2"/>
  <c r="U34" i="2"/>
  <c r="V34" i="2" s="1"/>
  <c r="H34" i="2"/>
  <c r="J35" i="2" s="1"/>
  <c r="AT31" i="2"/>
  <c r="AB31" i="2"/>
  <c r="H31" i="2"/>
  <c r="E42" i="23" s="1"/>
  <c r="AF10" i="8"/>
  <c r="AT28" i="2"/>
  <c r="H28" i="2"/>
  <c r="AT25" i="2"/>
  <c r="U21" i="20"/>
  <c r="AB25" i="2"/>
  <c r="H25" i="2"/>
  <c r="I23" i="2"/>
  <c r="AT22" i="2"/>
  <c r="V18" i="20"/>
  <c r="AE22" i="2"/>
  <c r="P60" i="20" s="1"/>
  <c r="AB22" i="2"/>
  <c r="AM22" i="2" s="1"/>
  <c r="AS22" i="2" s="1"/>
  <c r="I22" i="2"/>
  <c r="AB18" i="2"/>
  <c r="F20" i="2"/>
  <c r="F21" i="2" s="1"/>
  <c r="AT18" i="2"/>
  <c r="U15" i="20"/>
  <c r="I18" i="2"/>
  <c r="H18" i="2"/>
  <c r="E36" i="23" s="1"/>
  <c r="AB14" i="2"/>
  <c r="F16" i="2"/>
  <c r="F17" i="2" s="1"/>
  <c r="AT14" i="2"/>
  <c r="U12" i="20"/>
  <c r="H14" i="2"/>
  <c r="J15" i="2" s="1"/>
  <c r="AT10" i="2"/>
  <c r="U9" i="20"/>
  <c r="AB10" i="2"/>
  <c r="H10" i="2"/>
  <c r="I12" i="2" s="1"/>
  <c r="AT6" i="2"/>
  <c r="AB6" i="2"/>
  <c r="H6" i="2"/>
  <c r="I8" i="2" s="1"/>
  <c r="B2" i="2"/>
  <c r="R63" i="23"/>
  <c r="X63" i="23" s="1"/>
  <c r="H52" i="23"/>
  <c r="H51" i="23"/>
  <c r="H50" i="23"/>
  <c r="W48" i="23"/>
  <c r="T48" i="23"/>
  <c r="Z47" i="23"/>
  <c r="Y47" i="23"/>
  <c r="X47" i="23"/>
  <c r="S47" i="23"/>
  <c r="R47" i="23"/>
  <c r="B47" i="23"/>
  <c r="Z46" i="23"/>
  <c r="Y46" i="23"/>
  <c r="X46" i="23"/>
  <c r="S46" i="23"/>
  <c r="R46" i="23"/>
  <c r="B46" i="23"/>
  <c r="V45" i="23"/>
  <c r="U45" i="23"/>
  <c r="R45" i="23"/>
  <c r="O45" i="23"/>
  <c r="P45" i="23" s="1"/>
  <c r="G45" i="23"/>
  <c r="E45" i="23"/>
  <c r="B45" i="23"/>
  <c r="Z44" i="23"/>
  <c r="Y44" i="23"/>
  <c r="X44" i="23"/>
  <c r="V44" i="23"/>
  <c r="U44" i="23"/>
  <c r="S44" i="23"/>
  <c r="R44" i="23"/>
  <c r="E44" i="23"/>
  <c r="D44" i="23"/>
  <c r="C44" i="23"/>
  <c r="B44" i="23"/>
  <c r="Z43" i="23"/>
  <c r="Y43" i="23"/>
  <c r="X43" i="23"/>
  <c r="V43" i="23"/>
  <c r="U43" i="23"/>
  <c r="S43" i="23"/>
  <c r="R43" i="23"/>
  <c r="E43" i="23"/>
  <c r="D43" i="23"/>
  <c r="C43" i="23"/>
  <c r="B43" i="23"/>
  <c r="G42" i="23"/>
  <c r="D42" i="23"/>
  <c r="C42" i="23"/>
  <c r="B42" i="23"/>
  <c r="B41" i="23"/>
  <c r="B40" i="23"/>
  <c r="V39" i="23"/>
  <c r="U39" i="23"/>
  <c r="I39" i="23"/>
  <c r="G39" i="23"/>
  <c r="E39" i="23"/>
  <c r="B39" i="23"/>
  <c r="Z38" i="23"/>
  <c r="Y38" i="23"/>
  <c r="X38" i="23"/>
  <c r="V38" i="23"/>
  <c r="U38" i="23"/>
  <c r="S38" i="23"/>
  <c r="R38" i="23"/>
  <c r="E38" i="23"/>
  <c r="D38" i="23"/>
  <c r="C38" i="23"/>
  <c r="B38" i="23"/>
  <c r="Z37" i="23"/>
  <c r="Y37" i="23"/>
  <c r="X37" i="23"/>
  <c r="V37" i="23"/>
  <c r="U37" i="23"/>
  <c r="S37" i="23"/>
  <c r="R37" i="23"/>
  <c r="E37" i="23"/>
  <c r="D37" i="23"/>
  <c r="C37" i="23"/>
  <c r="B37" i="23"/>
  <c r="V36" i="23"/>
  <c r="U36" i="23"/>
  <c r="J36" i="23"/>
  <c r="N36" i="23" s="1"/>
  <c r="D36" i="23"/>
  <c r="C36" i="23"/>
  <c r="B36" i="23"/>
  <c r="Z35" i="23"/>
  <c r="Y35" i="23"/>
  <c r="X35" i="23"/>
  <c r="V35" i="23"/>
  <c r="U35" i="23"/>
  <c r="S35" i="23"/>
  <c r="R35" i="23"/>
  <c r="E35" i="23"/>
  <c r="D35" i="23"/>
  <c r="C35" i="23"/>
  <c r="B35" i="23"/>
  <c r="Z34" i="23"/>
  <c r="Y34" i="23"/>
  <c r="X34" i="23"/>
  <c r="V34" i="23"/>
  <c r="U34" i="23"/>
  <c r="S34" i="23"/>
  <c r="R34" i="23"/>
  <c r="E34" i="23"/>
  <c r="D34" i="23"/>
  <c r="C34" i="23"/>
  <c r="B34" i="23"/>
  <c r="V33" i="23"/>
  <c r="U33" i="23"/>
  <c r="J33" i="23"/>
  <c r="N33" i="23" s="1"/>
  <c r="D33" i="23"/>
  <c r="C33" i="23"/>
  <c r="B33" i="23"/>
  <c r="Z32" i="23"/>
  <c r="Y32" i="23"/>
  <c r="X32" i="23"/>
  <c r="V32" i="23"/>
  <c r="U32" i="23"/>
  <c r="S32" i="23"/>
  <c r="R32" i="23"/>
  <c r="E32" i="23"/>
  <c r="D32" i="23"/>
  <c r="C32" i="23"/>
  <c r="B32" i="23"/>
  <c r="Z31" i="23"/>
  <c r="Y31" i="23"/>
  <c r="X31" i="23"/>
  <c r="V31" i="23"/>
  <c r="U31" i="23"/>
  <c r="S31" i="23"/>
  <c r="R31" i="23"/>
  <c r="E31" i="23"/>
  <c r="D31" i="23"/>
  <c r="C31" i="23"/>
  <c r="B31" i="23"/>
  <c r="V30" i="23"/>
  <c r="U30" i="23"/>
  <c r="J30" i="23"/>
  <c r="N30" i="23" s="1"/>
  <c r="E30" i="23"/>
  <c r="D30" i="23"/>
  <c r="C30" i="23"/>
  <c r="B30" i="23"/>
  <c r="Z29" i="23"/>
  <c r="Y29" i="23"/>
  <c r="X29" i="23"/>
  <c r="V29" i="23"/>
  <c r="U29" i="23"/>
  <c r="S29" i="23"/>
  <c r="R29" i="23"/>
  <c r="E29" i="23"/>
  <c r="D29" i="23"/>
  <c r="C29" i="23"/>
  <c r="B29" i="23"/>
  <c r="Z28" i="23"/>
  <c r="Y28" i="23"/>
  <c r="X28" i="23"/>
  <c r="V28" i="23"/>
  <c r="U28" i="23"/>
  <c r="S28" i="23"/>
  <c r="R28" i="23"/>
  <c r="E28" i="23"/>
  <c r="D28" i="23"/>
  <c r="C28" i="23"/>
  <c r="B28" i="23"/>
  <c r="V27" i="23"/>
  <c r="U27" i="23"/>
  <c r="J27" i="23"/>
  <c r="D27" i="23"/>
  <c r="C27" i="23"/>
  <c r="B27" i="23"/>
  <c r="W25" i="23"/>
  <c r="Z24" i="23"/>
  <c r="Z23" i="23"/>
  <c r="Y23" i="23"/>
  <c r="X23" i="23"/>
  <c r="S23" i="23"/>
  <c r="B23" i="23"/>
  <c r="Z22" i="23"/>
  <c r="Y22" i="23"/>
  <c r="X22" i="23"/>
  <c r="S22" i="23"/>
  <c r="B22" i="23"/>
  <c r="Z21" i="23"/>
  <c r="E21" i="23"/>
  <c r="B21" i="23"/>
  <c r="Z20" i="23"/>
  <c r="Y20" i="23"/>
  <c r="X20" i="23"/>
  <c r="V20" i="23"/>
  <c r="U20" i="23"/>
  <c r="S20" i="23"/>
  <c r="E20" i="23"/>
  <c r="D20" i="23"/>
  <c r="C20" i="23"/>
  <c r="B20" i="23"/>
  <c r="Z19" i="23"/>
  <c r="Y19" i="23"/>
  <c r="X19" i="23"/>
  <c r="V19" i="23"/>
  <c r="U19" i="23"/>
  <c r="S19" i="23"/>
  <c r="E19" i="23"/>
  <c r="D19" i="23"/>
  <c r="C19" i="23"/>
  <c r="B19" i="23"/>
  <c r="Z18" i="23"/>
  <c r="O18" i="23"/>
  <c r="D18" i="23"/>
  <c r="C18" i="23"/>
  <c r="B18" i="23"/>
  <c r="Z17" i="23"/>
  <c r="Y17" i="23"/>
  <c r="X17" i="23"/>
  <c r="S17" i="23"/>
  <c r="B17" i="23"/>
  <c r="Z16" i="23"/>
  <c r="Y16" i="23"/>
  <c r="X16" i="23"/>
  <c r="S16" i="23"/>
  <c r="B16" i="23"/>
  <c r="E15" i="23"/>
  <c r="B15" i="23"/>
  <c r="Z14" i="23"/>
  <c r="Y14" i="23"/>
  <c r="X14" i="23"/>
  <c r="V14" i="23"/>
  <c r="U14" i="23"/>
  <c r="S14" i="23"/>
  <c r="E14" i="23"/>
  <c r="D14" i="23"/>
  <c r="C14" i="23"/>
  <c r="B14" i="23"/>
  <c r="Z13" i="23"/>
  <c r="Y13" i="23"/>
  <c r="X13" i="23"/>
  <c r="V13" i="23"/>
  <c r="U13" i="23"/>
  <c r="S13" i="23"/>
  <c r="E13" i="23"/>
  <c r="D13" i="23"/>
  <c r="C13" i="23"/>
  <c r="B13" i="23"/>
  <c r="D12" i="23"/>
  <c r="C12" i="23"/>
  <c r="B12" i="23"/>
  <c r="Z11" i="23"/>
  <c r="Y11" i="23"/>
  <c r="X11" i="23"/>
  <c r="S11" i="23"/>
  <c r="B11" i="23"/>
  <c r="Z10" i="23"/>
  <c r="Y10" i="23"/>
  <c r="X10" i="23"/>
  <c r="S10" i="23"/>
  <c r="B10" i="23"/>
  <c r="Z9" i="23"/>
  <c r="E9" i="23"/>
  <c r="B9" i="23"/>
  <c r="Z8" i="23"/>
  <c r="Y8" i="23"/>
  <c r="X8" i="23"/>
  <c r="V8" i="23"/>
  <c r="U8" i="23"/>
  <c r="S8" i="23"/>
  <c r="E8" i="23"/>
  <c r="D8" i="23"/>
  <c r="C8" i="23"/>
  <c r="B8" i="23"/>
  <c r="Z7" i="23"/>
  <c r="Y7" i="23"/>
  <c r="X7" i="23"/>
  <c r="V7" i="23"/>
  <c r="U7" i="23"/>
  <c r="S7" i="23"/>
  <c r="E7" i="23"/>
  <c r="D7" i="23"/>
  <c r="C7" i="23"/>
  <c r="B7" i="23"/>
  <c r="V6" i="23"/>
  <c r="Y6" i="23" s="1"/>
  <c r="J6" i="23"/>
  <c r="N6" i="23" s="1"/>
  <c r="E6" i="23"/>
  <c r="D6" i="23"/>
  <c r="C6" i="23"/>
  <c r="B6" i="23"/>
  <c r="W157" i="20"/>
  <c r="V157" i="20"/>
  <c r="U157" i="20"/>
  <c r="S157" i="20"/>
  <c r="R157" i="20"/>
  <c r="Q157" i="20"/>
  <c r="G157" i="20"/>
  <c r="M157" i="20" s="1"/>
  <c r="E157" i="20"/>
  <c r="D157" i="20"/>
  <c r="C157" i="20"/>
  <c r="B157" i="20"/>
  <c r="G156" i="20"/>
  <c r="M156" i="20" s="1"/>
  <c r="E156" i="20"/>
  <c r="D156" i="20"/>
  <c r="C156" i="20"/>
  <c r="B156" i="20"/>
  <c r="X158" i="20"/>
  <c r="S155" i="20"/>
  <c r="M155" i="20"/>
  <c r="E155" i="20"/>
  <c r="D155" i="20"/>
  <c r="C155" i="20"/>
  <c r="B155" i="20"/>
  <c r="X152" i="20"/>
  <c r="X150" i="20"/>
  <c r="W147" i="20"/>
  <c r="V147" i="20"/>
  <c r="U147" i="20"/>
  <c r="S147" i="20"/>
  <c r="R147" i="20"/>
  <c r="Q147" i="20"/>
  <c r="O147" i="20"/>
  <c r="N147" i="20"/>
  <c r="M147" i="20"/>
  <c r="L147" i="20"/>
  <c r="K147" i="20"/>
  <c r="G147" i="20"/>
  <c r="F147" i="20"/>
  <c r="E147" i="20"/>
  <c r="D147" i="20"/>
  <c r="C147" i="20"/>
  <c r="B147" i="20"/>
  <c r="W146" i="20"/>
  <c r="V146" i="20"/>
  <c r="U146" i="20"/>
  <c r="S146" i="20"/>
  <c r="R146" i="20"/>
  <c r="Q146" i="20"/>
  <c r="O146" i="20"/>
  <c r="N146" i="20"/>
  <c r="M146" i="20"/>
  <c r="L146" i="20"/>
  <c r="K146" i="20"/>
  <c r="H146" i="20"/>
  <c r="G146" i="20"/>
  <c r="F146" i="20"/>
  <c r="E146" i="20"/>
  <c r="D146" i="20"/>
  <c r="C146" i="20"/>
  <c r="B146" i="20"/>
  <c r="W145" i="20"/>
  <c r="V145" i="20"/>
  <c r="U145" i="20"/>
  <c r="S145" i="20"/>
  <c r="R145" i="20"/>
  <c r="Q145" i="20"/>
  <c r="O145" i="20"/>
  <c r="N145" i="20"/>
  <c r="M145" i="20"/>
  <c r="L145" i="20"/>
  <c r="K145" i="20"/>
  <c r="G145" i="20"/>
  <c r="F145" i="20"/>
  <c r="E145" i="20"/>
  <c r="D145" i="20"/>
  <c r="C145" i="20"/>
  <c r="B145" i="20"/>
  <c r="W144" i="20"/>
  <c r="V144" i="20"/>
  <c r="U144" i="20"/>
  <c r="S144" i="20"/>
  <c r="R144" i="20"/>
  <c r="Q144" i="20"/>
  <c r="O144" i="20"/>
  <c r="N144" i="20"/>
  <c r="M144" i="20"/>
  <c r="L144" i="20"/>
  <c r="K144" i="20"/>
  <c r="G144" i="20"/>
  <c r="F144" i="20"/>
  <c r="E144" i="20"/>
  <c r="D144" i="20"/>
  <c r="C144" i="20"/>
  <c r="B144" i="20"/>
  <c r="W143" i="20"/>
  <c r="V143" i="20"/>
  <c r="U143" i="20"/>
  <c r="S143" i="20"/>
  <c r="R143" i="20"/>
  <c r="Q143" i="20"/>
  <c r="O143" i="20"/>
  <c r="N143" i="20"/>
  <c r="M143" i="20"/>
  <c r="L143" i="20"/>
  <c r="K143" i="20"/>
  <c r="G143" i="20"/>
  <c r="F143" i="20"/>
  <c r="E143" i="20"/>
  <c r="D143" i="20"/>
  <c r="C143" i="20"/>
  <c r="B143" i="20"/>
  <c r="U142" i="20"/>
  <c r="Q142" i="20"/>
  <c r="M142" i="20"/>
  <c r="L142" i="20"/>
  <c r="K142" i="20"/>
  <c r="G142" i="20"/>
  <c r="F142" i="20"/>
  <c r="E142" i="20"/>
  <c r="D142" i="20"/>
  <c r="C142" i="20"/>
  <c r="B142" i="20"/>
  <c r="W141" i="20"/>
  <c r="V141" i="20"/>
  <c r="U141" i="20"/>
  <c r="S141" i="20"/>
  <c r="R141" i="20"/>
  <c r="Q141" i="20"/>
  <c r="O141" i="20"/>
  <c r="N141" i="20"/>
  <c r="M141" i="20"/>
  <c r="L141" i="20"/>
  <c r="K141" i="20"/>
  <c r="G141" i="20"/>
  <c r="F141" i="20"/>
  <c r="E141" i="20"/>
  <c r="D141" i="20"/>
  <c r="C141" i="20"/>
  <c r="B141" i="20"/>
  <c r="W140" i="20"/>
  <c r="V140" i="20"/>
  <c r="U140" i="20"/>
  <c r="S140" i="20"/>
  <c r="R140" i="20"/>
  <c r="Q140" i="20"/>
  <c r="O140" i="20"/>
  <c r="N140" i="20"/>
  <c r="M140" i="20"/>
  <c r="L140" i="20"/>
  <c r="K140" i="20"/>
  <c r="G140" i="20"/>
  <c r="F140" i="20"/>
  <c r="E140" i="20"/>
  <c r="D140" i="20"/>
  <c r="C140" i="20"/>
  <c r="B140" i="20"/>
  <c r="U139" i="20"/>
  <c r="Q139" i="20"/>
  <c r="M139" i="20"/>
  <c r="L139" i="20"/>
  <c r="K139" i="20"/>
  <c r="G139" i="20"/>
  <c r="F139" i="20"/>
  <c r="D139" i="20"/>
  <c r="C139" i="20"/>
  <c r="B139" i="20"/>
  <c r="W138" i="20"/>
  <c r="V138" i="20"/>
  <c r="U138" i="20"/>
  <c r="S138" i="20"/>
  <c r="R138" i="20"/>
  <c r="Q138" i="20"/>
  <c r="O138" i="20"/>
  <c r="N138" i="20"/>
  <c r="M138" i="20"/>
  <c r="L138" i="20"/>
  <c r="K138" i="20"/>
  <c r="G138" i="20"/>
  <c r="F138" i="20"/>
  <c r="E138" i="20"/>
  <c r="D138" i="20"/>
  <c r="C138" i="20"/>
  <c r="B138" i="20"/>
  <c r="W137" i="20"/>
  <c r="V137" i="20"/>
  <c r="U137" i="20"/>
  <c r="S137" i="20"/>
  <c r="R137" i="20"/>
  <c r="Q137" i="20"/>
  <c r="O137" i="20"/>
  <c r="N137" i="20"/>
  <c r="M137" i="20"/>
  <c r="L137" i="20"/>
  <c r="K137" i="20"/>
  <c r="G137" i="20"/>
  <c r="F137" i="20"/>
  <c r="E137" i="20"/>
  <c r="D137" i="20"/>
  <c r="C137" i="20"/>
  <c r="B137" i="20"/>
  <c r="W136" i="20"/>
  <c r="U136" i="20"/>
  <c r="S136" i="20"/>
  <c r="Q136" i="20"/>
  <c r="O136" i="20"/>
  <c r="N136" i="20"/>
  <c r="M136" i="20"/>
  <c r="L136" i="20"/>
  <c r="K136" i="20"/>
  <c r="G136" i="20"/>
  <c r="F136" i="20"/>
  <c r="E136" i="20"/>
  <c r="D136" i="20"/>
  <c r="C136" i="20"/>
  <c r="B136" i="20"/>
  <c r="G135" i="20"/>
  <c r="F135" i="20"/>
  <c r="E135" i="20"/>
  <c r="D135" i="20"/>
  <c r="C135" i="20"/>
  <c r="B135" i="20"/>
  <c r="G134" i="20"/>
  <c r="F134" i="20"/>
  <c r="E134" i="20"/>
  <c r="D134" i="20"/>
  <c r="C134" i="20"/>
  <c r="B134" i="20"/>
  <c r="G133" i="20"/>
  <c r="F133" i="20"/>
  <c r="E133" i="20"/>
  <c r="D133" i="20"/>
  <c r="C133" i="20"/>
  <c r="B133" i="20"/>
  <c r="G132" i="20"/>
  <c r="F132" i="20"/>
  <c r="E132" i="20"/>
  <c r="D132" i="20"/>
  <c r="C132" i="20"/>
  <c r="B132" i="20"/>
  <c r="I131" i="20"/>
  <c r="G131" i="20"/>
  <c r="F131" i="20"/>
  <c r="E131" i="20"/>
  <c r="D131" i="20"/>
  <c r="C131" i="20"/>
  <c r="B131" i="20"/>
  <c r="G130" i="20"/>
  <c r="F130" i="20"/>
  <c r="E130" i="20"/>
  <c r="D130" i="20"/>
  <c r="C130" i="20"/>
  <c r="B130" i="20"/>
  <c r="W129" i="20"/>
  <c r="V129" i="20"/>
  <c r="U129" i="20"/>
  <c r="S129" i="20"/>
  <c r="R129" i="20"/>
  <c r="Q129" i="20"/>
  <c r="O129" i="20"/>
  <c r="N129" i="20"/>
  <c r="M129" i="20"/>
  <c r="L129" i="20"/>
  <c r="K129" i="20"/>
  <c r="G129" i="20"/>
  <c r="F129" i="20"/>
  <c r="E129" i="20"/>
  <c r="D129" i="20"/>
  <c r="C129" i="20"/>
  <c r="B129" i="20"/>
  <c r="W128" i="20"/>
  <c r="V128" i="20"/>
  <c r="U128" i="20"/>
  <c r="S128" i="20"/>
  <c r="R128" i="20"/>
  <c r="Q128" i="20"/>
  <c r="O128" i="20"/>
  <c r="N128" i="20"/>
  <c r="M128" i="20"/>
  <c r="L128" i="20"/>
  <c r="K128" i="20"/>
  <c r="G128" i="20"/>
  <c r="F128" i="20"/>
  <c r="E128" i="20"/>
  <c r="D128" i="20"/>
  <c r="C128" i="20"/>
  <c r="B128" i="20"/>
  <c r="Q127" i="20"/>
  <c r="O127" i="20"/>
  <c r="M127" i="20"/>
  <c r="L127" i="20"/>
  <c r="K127" i="20"/>
  <c r="G127" i="20"/>
  <c r="F127" i="20"/>
  <c r="E127" i="20"/>
  <c r="D127" i="20"/>
  <c r="C127" i="20"/>
  <c r="B127" i="20"/>
  <c r="W126" i="20"/>
  <c r="V126" i="20"/>
  <c r="U126" i="20"/>
  <c r="S126" i="20"/>
  <c r="R126" i="20"/>
  <c r="Q126" i="20"/>
  <c r="O126" i="20"/>
  <c r="N126" i="20"/>
  <c r="M126" i="20"/>
  <c r="L126" i="20"/>
  <c r="K126" i="20"/>
  <c r="G126" i="20"/>
  <c r="F126" i="20"/>
  <c r="E126" i="20"/>
  <c r="D126" i="20"/>
  <c r="C126" i="20"/>
  <c r="B126" i="20"/>
  <c r="W125" i="20"/>
  <c r="V125" i="20"/>
  <c r="U125" i="20"/>
  <c r="S125" i="20"/>
  <c r="R125" i="20"/>
  <c r="Q125" i="20"/>
  <c r="O125" i="20"/>
  <c r="N125" i="20"/>
  <c r="M125" i="20"/>
  <c r="L125" i="20"/>
  <c r="K125" i="20"/>
  <c r="I125" i="20"/>
  <c r="G125" i="20"/>
  <c r="F125" i="20"/>
  <c r="E125" i="20"/>
  <c r="D125" i="20"/>
  <c r="C125" i="20"/>
  <c r="B125" i="20"/>
  <c r="Q124" i="20"/>
  <c r="M124" i="20"/>
  <c r="L124" i="20"/>
  <c r="K124" i="20"/>
  <c r="G124" i="20"/>
  <c r="F124" i="20"/>
  <c r="E124" i="20"/>
  <c r="D124" i="20"/>
  <c r="C124" i="20"/>
  <c r="B124" i="20"/>
  <c r="G123" i="20"/>
  <c r="F123" i="20"/>
  <c r="E123" i="20"/>
  <c r="D123" i="20"/>
  <c r="C123" i="20"/>
  <c r="B123" i="20"/>
  <c r="I122" i="20"/>
  <c r="G122" i="20"/>
  <c r="F122" i="20"/>
  <c r="E122" i="20"/>
  <c r="D122" i="20"/>
  <c r="C122" i="20"/>
  <c r="B122" i="20"/>
  <c r="G121" i="20"/>
  <c r="F121" i="20"/>
  <c r="E121" i="20"/>
  <c r="D121" i="20"/>
  <c r="C121" i="20"/>
  <c r="B121" i="20"/>
  <c r="W120" i="20"/>
  <c r="V120" i="20"/>
  <c r="U120" i="20"/>
  <c r="S120" i="20"/>
  <c r="R120" i="20"/>
  <c r="Q120" i="20"/>
  <c r="O120" i="20"/>
  <c r="N120" i="20"/>
  <c r="M120" i="20"/>
  <c r="L120" i="20"/>
  <c r="K120" i="20"/>
  <c r="G120" i="20"/>
  <c r="F120" i="20"/>
  <c r="E120" i="20"/>
  <c r="D120" i="20"/>
  <c r="C120" i="20"/>
  <c r="B120" i="20"/>
  <c r="W119" i="20"/>
  <c r="V119" i="20"/>
  <c r="U119" i="20"/>
  <c r="S119" i="20"/>
  <c r="R119" i="20"/>
  <c r="Q119" i="20"/>
  <c r="O119" i="20"/>
  <c r="N119" i="20"/>
  <c r="M119" i="20"/>
  <c r="L119" i="20"/>
  <c r="K119" i="20"/>
  <c r="G119" i="20"/>
  <c r="F119" i="20"/>
  <c r="E119" i="20"/>
  <c r="D119" i="20"/>
  <c r="C119" i="20"/>
  <c r="B119" i="20"/>
  <c r="Q118" i="20"/>
  <c r="L118" i="20"/>
  <c r="K118" i="20"/>
  <c r="G118" i="20"/>
  <c r="F118" i="20"/>
  <c r="D118" i="20"/>
  <c r="C118" i="20"/>
  <c r="B118" i="20"/>
  <c r="W117" i="20"/>
  <c r="V117" i="20"/>
  <c r="U117" i="20"/>
  <c r="S117" i="20"/>
  <c r="R117" i="20"/>
  <c r="Q117" i="20"/>
  <c r="O117" i="20"/>
  <c r="N117" i="20"/>
  <c r="M117" i="20"/>
  <c r="L117" i="20"/>
  <c r="K117" i="20"/>
  <c r="G117" i="20"/>
  <c r="F117" i="20"/>
  <c r="E117" i="20"/>
  <c r="D117" i="20"/>
  <c r="C117" i="20"/>
  <c r="B117" i="20"/>
  <c r="W116" i="20"/>
  <c r="V116" i="20"/>
  <c r="U116" i="20"/>
  <c r="S116" i="20"/>
  <c r="R116" i="20"/>
  <c r="Q116" i="20"/>
  <c r="O116" i="20"/>
  <c r="N116" i="20"/>
  <c r="M116" i="20"/>
  <c r="L116" i="20"/>
  <c r="K116" i="20"/>
  <c r="G116" i="20"/>
  <c r="F116" i="20"/>
  <c r="E116" i="20"/>
  <c r="D116" i="20"/>
  <c r="C116" i="20"/>
  <c r="B116" i="20"/>
  <c r="Q115" i="20"/>
  <c r="M115" i="20"/>
  <c r="L115" i="20"/>
  <c r="K115" i="20"/>
  <c r="G115" i="20"/>
  <c r="F115" i="20"/>
  <c r="D115" i="20"/>
  <c r="C115" i="20"/>
  <c r="B115" i="20"/>
  <c r="W114" i="20"/>
  <c r="V114" i="20"/>
  <c r="U114" i="20"/>
  <c r="S114" i="20"/>
  <c r="R114" i="20"/>
  <c r="Q114" i="20"/>
  <c r="O114" i="20"/>
  <c r="N114" i="20"/>
  <c r="M114" i="20"/>
  <c r="L114" i="20"/>
  <c r="K114" i="20"/>
  <c r="G114" i="20"/>
  <c r="F114" i="20"/>
  <c r="E114" i="20"/>
  <c r="D114" i="20"/>
  <c r="C114" i="20"/>
  <c r="B114" i="20"/>
  <c r="W113" i="20"/>
  <c r="V113" i="20"/>
  <c r="U113" i="20"/>
  <c r="S113" i="20"/>
  <c r="R113" i="20"/>
  <c r="Q113" i="20"/>
  <c r="O113" i="20"/>
  <c r="N113" i="20"/>
  <c r="M113" i="20"/>
  <c r="L113" i="20"/>
  <c r="K113" i="20"/>
  <c r="G113" i="20"/>
  <c r="F113" i="20"/>
  <c r="E113" i="20"/>
  <c r="D113" i="20"/>
  <c r="C113" i="20"/>
  <c r="B113" i="20"/>
  <c r="Q112" i="20"/>
  <c r="M112" i="20"/>
  <c r="L112" i="20"/>
  <c r="K112" i="20"/>
  <c r="G112" i="20"/>
  <c r="F112" i="20"/>
  <c r="E112" i="20"/>
  <c r="D112" i="20"/>
  <c r="C112" i="20"/>
  <c r="B112" i="20"/>
  <c r="W111" i="20"/>
  <c r="V111" i="20"/>
  <c r="U111" i="20"/>
  <c r="S111" i="20"/>
  <c r="R111" i="20"/>
  <c r="Q111" i="20"/>
  <c r="O111" i="20"/>
  <c r="N111" i="20"/>
  <c r="M111" i="20"/>
  <c r="L111" i="20"/>
  <c r="K111" i="20"/>
  <c r="G111" i="20"/>
  <c r="F111" i="20"/>
  <c r="E111" i="20"/>
  <c r="D111" i="20"/>
  <c r="C111" i="20"/>
  <c r="B111" i="20"/>
  <c r="W110" i="20"/>
  <c r="V110" i="20"/>
  <c r="U110" i="20"/>
  <c r="S110" i="20"/>
  <c r="R110" i="20"/>
  <c r="Q110" i="20"/>
  <c r="O110" i="20"/>
  <c r="N110" i="20"/>
  <c r="M110" i="20"/>
  <c r="L110" i="20"/>
  <c r="K110" i="20"/>
  <c r="F110" i="20"/>
  <c r="E110" i="20"/>
  <c r="D110" i="20"/>
  <c r="C110" i="20"/>
  <c r="B110" i="20"/>
  <c r="R109" i="20"/>
  <c r="Q109" i="20"/>
  <c r="L109" i="20"/>
  <c r="K109" i="20"/>
  <c r="G109" i="20"/>
  <c r="F109" i="20"/>
  <c r="E109" i="20"/>
  <c r="D109" i="20"/>
  <c r="C109" i="20"/>
  <c r="B109" i="20"/>
  <c r="G108" i="20"/>
  <c r="F108" i="20"/>
  <c r="E108" i="20"/>
  <c r="D108" i="20"/>
  <c r="C108" i="20"/>
  <c r="B108" i="20"/>
  <c r="G107" i="20"/>
  <c r="F107" i="20"/>
  <c r="E107" i="20"/>
  <c r="D107" i="20"/>
  <c r="C107" i="20"/>
  <c r="B107" i="20"/>
  <c r="G106" i="20"/>
  <c r="F106" i="20"/>
  <c r="E106" i="20"/>
  <c r="D106" i="20"/>
  <c r="C106" i="20"/>
  <c r="B106" i="20"/>
  <c r="F88" i="20"/>
  <c r="C88" i="20"/>
  <c r="B88" i="20"/>
  <c r="F87" i="20"/>
  <c r="C87" i="20"/>
  <c r="B87" i="20"/>
  <c r="M86" i="20"/>
  <c r="L86" i="20"/>
  <c r="H55" i="23"/>
  <c r="I55" i="23" s="1"/>
  <c r="F86" i="20"/>
  <c r="E86" i="20"/>
  <c r="E55" i="23" s="1"/>
  <c r="C86" i="20"/>
  <c r="C55" i="23" s="1"/>
  <c r="B86" i="20"/>
  <c r="B55" i="23" s="1"/>
  <c r="F85" i="20"/>
  <c r="B85" i="20"/>
  <c r="F84" i="20"/>
  <c r="B84" i="20"/>
  <c r="W83" i="20"/>
  <c r="S83" i="20"/>
  <c r="R83" i="20"/>
  <c r="Q83" i="20"/>
  <c r="O83" i="20"/>
  <c r="N83" i="20"/>
  <c r="M83" i="20"/>
  <c r="L83" i="20"/>
  <c r="F83" i="20"/>
  <c r="B83" i="20"/>
  <c r="F82" i="20"/>
  <c r="B82" i="20"/>
  <c r="F81" i="20"/>
  <c r="B81" i="20"/>
  <c r="Q80" i="20"/>
  <c r="L80" i="20"/>
  <c r="H54" i="23"/>
  <c r="I54" i="23" s="1"/>
  <c r="F80" i="20"/>
  <c r="E80" i="20"/>
  <c r="E54" i="23" s="1"/>
  <c r="B80" i="20"/>
  <c r="B54" i="23" s="1"/>
  <c r="F79" i="20"/>
  <c r="B79" i="20"/>
  <c r="F78" i="20"/>
  <c r="B78" i="20"/>
  <c r="L77" i="20"/>
  <c r="F77" i="20"/>
  <c r="E77" i="20"/>
  <c r="E53" i="23" s="1"/>
  <c r="B77" i="20"/>
  <c r="B53" i="23" s="1"/>
  <c r="F76" i="20"/>
  <c r="B76" i="20"/>
  <c r="F75" i="20"/>
  <c r="B75" i="20"/>
  <c r="W74" i="20"/>
  <c r="V74" i="20"/>
  <c r="U74" i="20"/>
  <c r="S74" i="20"/>
  <c r="R74" i="20"/>
  <c r="Q74" i="20"/>
  <c r="O74" i="20"/>
  <c r="N74" i="20"/>
  <c r="M74" i="20"/>
  <c r="L74" i="20"/>
  <c r="F74" i="20"/>
  <c r="E74" i="20"/>
  <c r="B74" i="20"/>
  <c r="F73" i="20"/>
  <c r="B73" i="20"/>
  <c r="F72" i="20"/>
  <c r="B72" i="20"/>
  <c r="S71" i="20"/>
  <c r="R71" i="20"/>
  <c r="M71" i="20"/>
  <c r="L71" i="20"/>
  <c r="F71" i="20"/>
  <c r="E71" i="20"/>
  <c r="B71" i="20"/>
  <c r="F70" i="20"/>
  <c r="B70" i="20"/>
  <c r="F69" i="20"/>
  <c r="B69" i="20"/>
  <c r="Q68" i="20"/>
  <c r="L68" i="20"/>
  <c r="K68" i="20"/>
  <c r="F68" i="20"/>
  <c r="E68" i="20"/>
  <c r="B68" i="20"/>
  <c r="F67" i="20"/>
  <c r="B67" i="20"/>
  <c r="F66" i="20"/>
  <c r="B66" i="20"/>
  <c r="Q65" i="20"/>
  <c r="L65" i="20"/>
  <c r="F65" i="20"/>
  <c r="E65" i="20"/>
  <c r="B65" i="20"/>
  <c r="F64" i="20"/>
  <c r="B64" i="20"/>
  <c r="F63" i="20"/>
  <c r="B63" i="20"/>
  <c r="Q62" i="20"/>
  <c r="L62" i="20"/>
  <c r="F62" i="20"/>
  <c r="E62" i="20"/>
  <c r="B62" i="20"/>
  <c r="X44" i="20"/>
  <c r="W44" i="20"/>
  <c r="V44" i="20"/>
  <c r="U44" i="20"/>
  <c r="S44" i="20"/>
  <c r="R44" i="20"/>
  <c r="Q44" i="20"/>
  <c r="O44" i="20"/>
  <c r="N44" i="20"/>
  <c r="M44" i="20"/>
  <c r="L44" i="20"/>
  <c r="F44" i="20"/>
  <c r="E44" i="20"/>
  <c r="D44" i="20"/>
  <c r="C44" i="20"/>
  <c r="B44" i="20"/>
  <c r="X43" i="20"/>
  <c r="W43" i="20"/>
  <c r="V43" i="20"/>
  <c r="U43" i="20"/>
  <c r="S43" i="20"/>
  <c r="R43" i="20"/>
  <c r="Q43" i="20"/>
  <c r="O43" i="20"/>
  <c r="N43" i="20"/>
  <c r="M43" i="20"/>
  <c r="L43" i="20"/>
  <c r="F43" i="20"/>
  <c r="E43" i="20"/>
  <c r="D43" i="20"/>
  <c r="C43" i="20"/>
  <c r="B43" i="20"/>
  <c r="X42" i="20"/>
  <c r="U42" i="20"/>
  <c r="Q42" i="20"/>
  <c r="L42" i="20"/>
  <c r="F42" i="20"/>
  <c r="E42" i="20"/>
  <c r="D42" i="20"/>
  <c r="C42" i="20"/>
  <c r="B42" i="20"/>
  <c r="X41" i="20"/>
  <c r="W41" i="20"/>
  <c r="V41" i="20"/>
  <c r="U41" i="20"/>
  <c r="S41" i="20"/>
  <c r="R41" i="20"/>
  <c r="Q41" i="20"/>
  <c r="O41" i="20"/>
  <c r="N41" i="20"/>
  <c r="M41" i="20"/>
  <c r="L41" i="20"/>
  <c r="F41" i="20"/>
  <c r="E41" i="20"/>
  <c r="D41" i="20"/>
  <c r="C41" i="20"/>
  <c r="B41" i="20"/>
  <c r="X40" i="20"/>
  <c r="W40" i="20"/>
  <c r="V40" i="20"/>
  <c r="U40" i="20"/>
  <c r="S40" i="20"/>
  <c r="R40" i="20"/>
  <c r="Q40" i="20"/>
  <c r="O40" i="20"/>
  <c r="N40" i="20"/>
  <c r="M40" i="20"/>
  <c r="L40" i="20"/>
  <c r="F40" i="20"/>
  <c r="E40" i="20"/>
  <c r="D40" i="20"/>
  <c r="C40" i="20"/>
  <c r="B40" i="20"/>
  <c r="X39" i="20"/>
  <c r="M39" i="20"/>
  <c r="L39" i="20"/>
  <c r="F39" i="20"/>
  <c r="E39" i="20"/>
  <c r="D39" i="20"/>
  <c r="C39" i="20"/>
  <c r="B39" i="20"/>
  <c r="X38" i="20"/>
  <c r="W38" i="20"/>
  <c r="V38" i="20"/>
  <c r="U38" i="20"/>
  <c r="S38" i="20"/>
  <c r="R38" i="20"/>
  <c r="L38" i="20"/>
  <c r="F38" i="20"/>
  <c r="E38" i="20"/>
  <c r="D38" i="20"/>
  <c r="C38" i="20"/>
  <c r="B38" i="20"/>
  <c r="X37" i="20"/>
  <c r="W37" i="20"/>
  <c r="V37" i="20"/>
  <c r="U37" i="20"/>
  <c r="S37" i="20"/>
  <c r="R37" i="20"/>
  <c r="L37" i="20"/>
  <c r="F37" i="20"/>
  <c r="E37" i="20"/>
  <c r="D37" i="20"/>
  <c r="C37" i="20"/>
  <c r="B37" i="20"/>
  <c r="X36" i="20"/>
  <c r="U36" i="20"/>
  <c r="S36" i="20"/>
  <c r="R36" i="20"/>
  <c r="L36" i="20"/>
  <c r="F36" i="20"/>
  <c r="E36" i="20"/>
  <c r="D36" i="20"/>
  <c r="C36" i="20"/>
  <c r="B36" i="20"/>
  <c r="X35" i="20"/>
  <c r="W35" i="20"/>
  <c r="V35" i="20"/>
  <c r="U35" i="20"/>
  <c r="S35" i="20"/>
  <c r="R35" i="20"/>
  <c r="L35" i="20"/>
  <c r="F35" i="20"/>
  <c r="E35" i="20"/>
  <c r="D35" i="20"/>
  <c r="C35" i="20"/>
  <c r="B35" i="20"/>
  <c r="X34" i="20"/>
  <c r="W34" i="20"/>
  <c r="V34" i="20"/>
  <c r="U34" i="20"/>
  <c r="S34" i="20"/>
  <c r="R34" i="20"/>
  <c r="L34" i="20"/>
  <c r="F34" i="20"/>
  <c r="E34" i="20"/>
  <c r="D34" i="20"/>
  <c r="C34" i="20"/>
  <c r="B34" i="20"/>
  <c r="X33" i="20"/>
  <c r="S33" i="20"/>
  <c r="R33" i="20"/>
  <c r="L33" i="20"/>
  <c r="F33" i="20"/>
  <c r="D33" i="20"/>
  <c r="C33" i="20"/>
  <c r="B33" i="20"/>
  <c r="X32" i="20"/>
  <c r="W32" i="20"/>
  <c r="V32" i="20"/>
  <c r="U32" i="20"/>
  <c r="S32" i="20"/>
  <c r="R32" i="20"/>
  <c r="L32" i="20"/>
  <c r="F32" i="20"/>
  <c r="E32" i="20"/>
  <c r="D32" i="20"/>
  <c r="C32" i="20"/>
  <c r="B32" i="20"/>
  <c r="X31" i="20"/>
  <c r="W31" i="20"/>
  <c r="V31" i="20"/>
  <c r="U31" i="20"/>
  <c r="S31" i="20"/>
  <c r="R31" i="20"/>
  <c r="L31" i="20"/>
  <c r="F31" i="20"/>
  <c r="E31" i="20"/>
  <c r="D31" i="20"/>
  <c r="C31" i="20"/>
  <c r="B31" i="20"/>
  <c r="X30" i="20"/>
  <c r="S30" i="20"/>
  <c r="R30" i="20"/>
  <c r="L30" i="20"/>
  <c r="F30" i="20"/>
  <c r="D30" i="20"/>
  <c r="C30" i="20"/>
  <c r="B30" i="20"/>
  <c r="X29" i="20"/>
  <c r="W29" i="20"/>
  <c r="V29" i="20"/>
  <c r="U29" i="20"/>
  <c r="S29" i="20"/>
  <c r="R29" i="20"/>
  <c r="L29" i="20"/>
  <c r="F29" i="20"/>
  <c r="E29" i="20"/>
  <c r="D29" i="20"/>
  <c r="C29" i="20"/>
  <c r="B29" i="20"/>
  <c r="X28" i="20"/>
  <c r="W28" i="20"/>
  <c r="V28" i="20"/>
  <c r="U28" i="20"/>
  <c r="S28" i="20"/>
  <c r="R28" i="20"/>
  <c r="L28" i="20"/>
  <c r="F28" i="20"/>
  <c r="E28" i="20"/>
  <c r="D28" i="20"/>
  <c r="C28" i="20"/>
  <c r="B28" i="20"/>
  <c r="X27" i="20"/>
  <c r="U27" i="20"/>
  <c r="L27" i="20"/>
  <c r="F27" i="20"/>
  <c r="E27" i="20"/>
  <c r="D27" i="20"/>
  <c r="C27" i="20"/>
  <c r="B27" i="20"/>
  <c r="X26" i="20"/>
  <c r="W26" i="20"/>
  <c r="V26" i="20"/>
  <c r="U26" i="20"/>
  <c r="S26" i="20"/>
  <c r="R26" i="20"/>
  <c r="L26" i="20"/>
  <c r="F26" i="20"/>
  <c r="E26" i="20"/>
  <c r="D26" i="20"/>
  <c r="C26" i="20"/>
  <c r="B26" i="20"/>
  <c r="X25" i="20"/>
  <c r="W25" i="20"/>
  <c r="V25" i="20"/>
  <c r="U25" i="20"/>
  <c r="S25" i="20"/>
  <c r="R25" i="20"/>
  <c r="L25" i="20"/>
  <c r="F25" i="20"/>
  <c r="E25" i="20"/>
  <c r="D25" i="20"/>
  <c r="C25" i="20"/>
  <c r="B25" i="20"/>
  <c r="X24" i="20"/>
  <c r="L24" i="20"/>
  <c r="F24" i="20"/>
  <c r="D24" i="20"/>
  <c r="C24" i="20"/>
  <c r="B24" i="20"/>
  <c r="X23" i="20"/>
  <c r="W23" i="20"/>
  <c r="V23" i="20"/>
  <c r="U23" i="20"/>
  <c r="S23" i="20"/>
  <c r="R23" i="20"/>
  <c r="L23" i="20"/>
  <c r="K23" i="20"/>
  <c r="F23" i="20"/>
  <c r="E23" i="20"/>
  <c r="D23" i="20"/>
  <c r="C23" i="20"/>
  <c r="B23" i="20"/>
  <c r="X22" i="20"/>
  <c r="W22" i="20"/>
  <c r="V22" i="20"/>
  <c r="U22" i="20"/>
  <c r="S22" i="20"/>
  <c r="R22" i="20"/>
  <c r="L22" i="20"/>
  <c r="K22" i="20"/>
  <c r="F22" i="20"/>
  <c r="E22" i="20"/>
  <c r="D22" i="20"/>
  <c r="C22" i="20"/>
  <c r="B22" i="20"/>
  <c r="X21" i="20"/>
  <c r="L21" i="20"/>
  <c r="K21" i="20"/>
  <c r="F21" i="20"/>
  <c r="E21" i="20"/>
  <c r="D21" i="20"/>
  <c r="C21" i="20"/>
  <c r="B21" i="20"/>
  <c r="X20" i="20"/>
  <c r="W20" i="20"/>
  <c r="V20" i="20"/>
  <c r="U20" i="20"/>
  <c r="S20" i="20"/>
  <c r="R20" i="20"/>
  <c r="L20" i="20"/>
  <c r="K20" i="20"/>
  <c r="F20" i="20"/>
  <c r="E20" i="20"/>
  <c r="D20" i="20"/>
  <c r="C20" i="20"/>
  <c r="B20" i="20"/>
  <c r="X19" i="20"/>
  <c r="W19" i="20"/>
  <c r="V19" i="20"/>
  <c r="U19" i="20"/>
  <c r="S19" i="20"/>
  <c r="R19" i="20"/>
  <c r="L19" i="20"/>
  <c r="K19" i="20"/>
  <c r="F19" i="20"/>
  <c r="E19" i="20"/>
  <c r="D19" i="20"/>
  <c r="C19" i="20"/>
  <c r="B19" i="20"/>
  <c r="W18" i="20"/>
  <c r="U18" i="20"/>
  <c r="S18" i="20"/>
  <c r="L18" i="20"/>
  <c r="K18" i="20"/>
  <c r="F18" i="20"/>
  <c r="E18" i="20"/>
  <c r="D18" i="20"/>
  <c r="C18" i="20"/>
  <c r="B18" i="20"/>
  <c r="X17" i="20"/>
  <c r="W17" i="20"/>
  <c r="V17" i="20"/>
  <c r="U17" i="20"/>
  <c r="S17" i="20"/>
  <c r="R17" i="20"/>
  <c r="L17" i="20"/>
  <c r="F17" i="20"/>
  <c r="E17" i="20"/>
  <c r="D17" i="20"/>
  <c r="C17" i="20"/>
  <c r="B17" i="20"/>
  <c r="X16" i="20"/>
  <c r="W16" i="20"/>
  <c r="V16" i="20"/>
  <c r="U16" i="20"/>
  <c r="S16" i="20"/>
  <c r="R16" i="20"/>
  <c r="L16" i="20"/>
  <c r="K16" i="20"/>
  <c r="F16" i="20"/>
  <c r="E16" i="20"/>
  <c r="D16" i="20"/>
  <c r="C16" i="20"/>
  <c r="B16" i="20"/>
  <c r="X15" i="20"/>
  <c r="S15" i="20"/>
  <c r="R15" i="20"/>
  <c r="L15" i="20"/>
  <c r="K15" i="20"/>
  <c r="F15" i="20"/>
  <c r="E15" i="20"/>
  <c r="D15" i="20"/>
  <c r="C15" i="20"/>
  <c r="B15" i="20"/>
  <c r="X14" i="20"/>
  <c r="W14" i="20"/>
  <c r="V14" i="20"/>
  <c r="U14" i="20"/>
  <c r="S14" i="20"/>
  <c r="R14" i="20"/>
  <c r="L14" i="20"/>
  <c r="K14" i="20"/>
  <c r="F14" i="20"/>
  <c r="E14" i="20"/>
  <c r="D14" i="20"/>
  <c r="C14" i="20"/>
  <c r="B14" i="20"/>
  <c r="X13" i="20"/>
  <c r="W13" i="20"/>
  <c r="V13" i="20"/>
  <c r="U13" i="20"/>
  <c r="S13" i="20"/>
  <c r="R13" i="20"/>
  <c r="L13" i="20"/>
  <c r="K13" i="20"/>
  <c r="F13" i="20"/>
  <c r="E13" i="20"/>
  <c r="D13" i="20"/>
  <c r="C13" i="20"/>
  <c r="B13" i="20"/>
  <c r="X12" i="20"/>
  <c r="S12" i="20"/>
  <c r="R12" i="20"/>
  <c r="L12" i="20"/>
  <c r="K12" i="20"/>
  <c r="F12" i="20"/>
  <c r="D12" i="20"/>
  <c r="C12" i="20"/>
  <c r="B12" i="20"/>
  <c r="X11" i="20"/>
  <c r="W11" i="20"/>
  <c r="V11" i="20"/>
  <c r="U11" i="20"/>
  <c r="S11" i="20"/>
  <c r="R11" i="20"/>
  <c r="L11" i="20"/>
  <c r="K11" i="20"/>
  <c r="F11" i="20"/>
  <c r="E11" i="20"/>
  <c r="D11" i="20"/>
  <c r="C11" i="20"/>
  <c r="B11" i="20"/>
  <c r="X10" i="20"/>
  <c r="W10" i="20"/>
  <c r="V10" i="20"/>
  <c r="U10" i="20"/>
  <c r="S10" i="20"/>
  <c r="R10" i="20"/>
  <c r="L10" i="20"/>
  <c r="K10" i="20"/>
  <c r="F10" i="20"/>
  <c r="E10" i="20"/>
  <c r="D10" i="20"/>
  <c r="C10" i="20"/>
  <c r="B10" i="20"/>
  <c r="X9" i="20"/>
  <c r="S9" i="20"/>
  <c r="R9" i="20"/>
  <c r="L9" i="20"/>
  <c r="K9" i="20"/>
  <c r="F9" i="20"/>
  <c r="E9" i="20"/>
  <c r="D9" i="20"/>
  <c r="C9" i="20"/>
  <c r="B9" i="20"/>
  <c r="X8" i="20"/>
  <c r="W8" i="20"/>
  <c r="V8" i="20"/>
  <c r="U8" i="20"/>
  <c r="S8" i="20"/>
  <c r="R8" i="20"/>
  <c r="L8" i="20"/>
  <c r="K8" i="20"/>
  <c r="E8" i="20"/>
  <c r="D8" i="20"/>
  <c r="C8" i="20"/>
  <c r="B8" i="20"/>
  <c r="X7" i="20"/>
  <c r="W7" i="20"/>
  <c r="V7" i="20"/>
  <c r="U7" i="20"/>
  <c r="S7" i="20"/>
  <c r="R7" i="20"/>
  <c r="L7" i="20"/>
  <c r="K7" i="20"/>
  <c r="E7" i="20"/>
  <c r="D7" i="20"/>
  <c r="C7" i="20"/>
  <c r="B7" i="20"/>
  <c r="X6" i="20"/>
  <c r="S6" i="20"/>
  <c r="R6" i="20"/>
  <c r="L6" i="20"/>
  <c r="K6" i="20"/>
  <c r="D6" i="20"/>
  <c r="C6" i="20"/>
  <c r="B6" i="20"/>
  <c r="F10" i="21"/>
  <c r="C10" i="21"/>
  <c r="E10" i="21" s="1"/>
  <c r="C6" i="21"/>
  <c r="I19" i="2" l="1"/>
  <c r="AK33" i="19"/>
  <c r="AC6" i="19"/>
  <c r="I45" i="19"/>
  <c r="H145" i="20" s="1"/>
  <c r="J45" i="19"/>
  <c r="I145" i="20" s="1"/>
  <c r="R81" i="16"/>
  <c r="S48" i="16"/>
  <c r="R72" i="16"/>
  <c r="R22" i="16"/>
  <c r="R69" i="16"/>
  <c r="S71" i="16"/>
  <c r="R93" i="16"/>
  <c r="J18" i="2"/>
  <c r="I43" i="2"/>
  <c r="I45" i="2"/>
  <c r="E33" i="20"/>
  <c r="J43" i="2"/>
  <c r="J48" i="2"/>
  <c r="AD9" i="8"/>
  <c r="H9" i="8"/>
  <c r="AC9" i="8"/>
  <c r="S44" i="16"/>
  <c r="I9" i="19"/>
  <c r="H109" i="20" s="1"/>
  <c r="I22" i="19"/>
  <c r="H122" i="20" s="1"/>
  <c r="I24" i="19"/>
  <c r="H124" i="20" s="1"/>
  <c r="I30" i="19"/>
  <c r="H130" i="20" s="1"/>
  <c r="I47" i="19"/>
  <c r="H147" i="20" s="1"/>
  <c r="R7" i="16"/>
  <c r="R11" i="16"/>
  <c r="R13" i="16"/>
  <c r="W13" i="16" s="1"/>
  <c r="S35" i="16"/>
  <c r="S52" i="16"/>
  <c r="R106" i="16"/>
  <c r="S124" i="16"/>
  <c r="S127" i="16"/>
  <c r="I23" i="19"/>
  <c r="H123" i="20" s="1"/>
  <c r="AI27" i="19"/>
  <c r="R127" i="20" s="1"/>
  <c r="J30" i="19"/>
  <c r="I130" i="20" s="1"/>
  <c r="R14" i="16"/>
  <c r="S21" i="16"/>
  <c r="S63" i="16"/>
  <c r="U6" i="23"/>
  <c r="X6" i="23" s="1"/>
  <c r="AM25" i="2"/>
  <c r="AS25" i="2" s="1"/>
  <c r="I12" i="8"/>
  <c r="H53" i="23"/>
  <c r="G69" i="23"/>
  <c r="I50" i="23"/>
  <c r="I52" i="23"/>
  <c r="B6" i="21"/>
  <c r="D6" i="21" s="1"/>
  <c r="N156" i="20"/>
  <c r="O156" i="20" s="1"/>
  <c r="E6" i="20"/>
  <c r="K17" i="20"/>
  <c r="R42" i="20"/>
  <c r="I16" i="2"/>
  <c r="M42" i="20"/>
  <c r="I10" i="2"/>
  <c r="I20" i="2"/>
  <c r="J20" i="2"/>
  <c r="I39" i="2"/>
  <c r="AC43" i="2"/>
  <c r="N39" i="20" s="1"/>
  <c r="I46" i="2"/>
  <c r="I7" i="2"/>
  <c r="E12" i="20"/>
  <c r="J10" i="2"/>
  <c r="I13" i="2"/>
  <c r="AD31" i="2"/>
  <c r="J46" i="2"/>
  <c r="I14" i="8"/>
  <c r="H11" i="8"/>
  <c r="H10" i="8"/>
  <c r="R49" i="16"/>
  <c r="R64" i="16"/>
  <c r="R67" i="16"/>
  <c r="S108" i="16"/>
  <c r="V108" i="16"/>
  <c r="X134" i="16"/>
  <c r="S11" i="16"/>
  <c r="S13" i="16"/>
  <c r="S17" i="16"/>
  <c r="R17" i="16"/>
  <c r="S25" i="16"/>
  <c r="R29" i="16"/>
  <c r="S41" i="16"/>
  <c r="S60" i="16"/>
  <c r="R71" i="16"/>
  <c r="S81" i="16"/>
  <c r="S93" i="16"/>
  <c r="R103" i="16"/>
  <c r="X133" i="16"/>
  <c r="S136" i="16"/>
  <c r="W136" i="16"/>
  <c r="R35" i="16"/>
  <c r="R44" i="16"/>
  <c r="R70" i="16"/>
  <c r="R79" i="16"/>
  <c r="S80" i="16"/>
  <c r="S83" i="16"/>
  <c r="R83" i="16"/>
  <c r="V83" i="16"/>
  <c r="S90" i="16"/>
  <c r="S104" i="16"/>
  <c r="S109" i="16"/>
  <c r="W128" i="16"/>
  <c r="X131" i="16"/>
  <c r="Y13" i="16"/>
  <c r="R108" i="16"/>
  <c r="S75" i="16"/>
  <c r="R75" i="16"/>
  <c r="V75" i="16"/>
  <c r="S66" i="16"/>
  <c r="V66" i="16"/>
  <c r="S56" i="16"/>
  <c r="V56" i="16"/>
  <c r="R56" i="16"/>
  <c r="B7" i="21"/>
  <c r="H17" i="8"/>
  <c r="H26" i="8"/>
  <c r="O65" i="20"/>
  <c r="I18" i="8"/>
  <c r="H25" i="8"/>
  <c r="I26" i="8"/>
  <c r="M65" i="20"/>
  <c r="M104" i="20" s="1"/>
  <c r="I7" i="8"/>
  <c r="AJ9" i="8"/>
  <c r="AN9" i="8" s="1"/>
  <c r="H14" i="8"/>
  <c r="AC15" i="8"/>
  <c r="N71" i="20" s="1"/>
  <c r="I25" i="8"/>
  <c r="AK9" i="8"/>
  <c r="U65" i="20" s="1"/>
  <c r="X45" i="23"/>
  <c r="K6" i="23"/>
  <c r="O6" i="23" s="1"/>
  <c r="R18" i="20"/>
  <c r="X33" i="16"/>
  <c r="S33" i="16"/>
  <c r="AC28" i="2"/>
  <c r="I30" i="2"/>
  <c r="E24" i="20"/>
  <c r="J28" i="2"/>
  <c r="E12" i="23"/>
  <c r="I29" i="2"/>
  <c r="I28" i="2"/>
  <c r="I34" i="2"/>
  <c r="E30" i="20"/>
  <c r="AC40" i="2"/>
  <c r="AM40" i="2"/>
  <c r="AS40" i="2" s="1"/>
  <c r="H24" i="8"/>
  <c r="AD22" i="8"/>
  <c r="O77" i="20" s="1"/>
  <c r="I24" i="8"/>
  <c r="H22" i="8"/>
  <c r="AJ18" i="19"/>
  <c r="S118" i="20" s="1"/>
  <c r="I18" i="19"/>
  <c r="H118" i="20" s="1"/>
  <c r="E118" i="20"/>
  <c r="L9" i="16"/>
  <c r="N9" i="16" s="1"/>
  <c r="R9" i="16" s="1"/>
  <c r="Y9" i="16" s="1"/>
  <c r="R31" i="16"/>
  <c r="S31" i="16"/>
  <c r="S59" i="16"/>
  <c r="R59" i="16"/>
  <c r="R89" i="16"/>
  <c r="S89" i="16"/>
  <c r="S113" i="16"/>
  <c r="R113" i="16"/>
  <c r="S119" i="16"/>
  <c r="R119" i="16"/>
  <c r="S156" i="20"/>
  <c r="S158" i="20" s="1"/>
  <c r="I10" i="21" s="1"/>
  <c r="I10" i="19"/>
  <c r="H110" i="20" s="1"/>
  <c r="G110" i="20"/>
  <c r="B8" i="21" s="1"/>
  <c r="R40" i="16"/>
  <c r="S40" i="16"/>
  <c r="C7" i="21"/>
  <c r="J22" i="2"/>
  <c r="AC25" i="2"/>
  <c r="I25" i="2"/>
  <c r="E18" i="23"/>
  <c r="U42" i="23"/>
  <c r="U48" i="23" s="1"/>
  <c r="R27" i="20"/>
  <c r="J16" i="19"/>
  <c r="I116" i="20" s="1"/>
  <c r="E115" i="20"/>
  <c r="R20" i="16"/>
  <c r="S20" i="16"/>
  <c r="N27" i="16"/>
  <c r="R27" i="16" s="1"/>
  <c r="L26" i="16"/>
  <c r="S54" i="16"/>
  <c r="R54" i="16"/>
  <c r="R57" i="16"/>
  <c r="S57" i="16"/>
  <c r="R76" i="16"/>
  <c r="S76" i="16"/>
  <c r="S105" i="16"/>
  <c r="R105" i="16"/>
  <c r="AM37" i="2"/>
  <c r="AS37" i="2" s="1"/>
  <c r="AC37" i="2"/>
  <c r="S53" i="16"/>
  <c r="R53" i="16"/>
  <c r="AD28" i="2"/>
  <c r="J30" i="2"/>
  <c r="AJ22" i="8"/>
  <c r="AN22" i="8" s="1"/>
  <c r="Q77" i="20"/>
  <c r="J35" i="19"/>
  <c r="I135" i="20" s="1"/>
  <c r="J34" i="19"/>
  <c r="I134" i="20" s="1"/>
  <c r="I34" i="19"/>
  <c r="H134" i="20" s="1"/>
  <c r="J33" i="19"/>
  <c r="I133" i="20" s="1"/>
  <c r="AJ39" i="19"/>
  <c r="S139" i="20" s="1"/>
  <c r="J40" i="19"/>
  <c r="I140" i="20" s="1"/>
  <c r="E139" i="20"/>
  <c r="S68" i="16"/>
  <c r="R68" i="16"/>
  <c r="S110" i="16"/>
  <c r="R110" i="16"/>
  <c r="S116" i="16"/>
  <c r="R116" i="16"/>
  <c r="R123" i="16"/>
  <c r="S123" i="16"/>
  <c r="N155" i="20"/>
  <c r="O155" i="20" s="1"/>
  <c r="T6" i="23"/>
  <c r="Z6" i="23" s="1"/>
  <c r="Z25" i="23" s="1"/>
  <c r="AD6" i="2"/>
  <c r="J8" i="2"/>
  <c r="J16" i="2"/>
  <c r="W27" i="20"/>
  <c r="I42" i="2"/>
  <c r="AJ27" i="19"/>
  <c r="S127" i="20" s="1"/>
  <c r="R12" i="16"/>
  <c r="R63" i="16"/>
  <c r="R66" i="16"/>
  <c r="S69" i="16"/>
  <c r="S45" i="23"/>
  <c r="Y45" i="23" s="1"/>
  <c r="I6" i="2"/>
  <c r="AM6" i="2"/>
  <c r="AS6" i="2" s="1"/>
  <c r="I9" i="2"/>
  <c r="I11" i="2"/>
  <c r="I14" i="2"/>
  <c r="I15" i="2"/>
  <c r="J19" i="2"/>
  <c r="J21" i="2"/>
  <c r="J31" i="2"/>
  <c r="I40" i="2"/>
  <c r="J42" i="2"/>
  <c r="AI6" i="8"/>
  <c r="S62" i="20" s="1"/>
  <c r="I11" i="8"/>
  <c r="AK22" i="8"/>
  <c r="U77" i="20" s="1"/>
  <c r="I8" i="19"/>
  <c r="H108" i="20" s="1"/>
  <c r="AD9" i="19"/>
  <c r="O109" i="20" s="1"/>
  <c r="AI12" i="19"/>
  <c r="R112" i="20" s="1"/>
  <c r="AI24" i="19"/>
  <c r="R124" i="20" s="1"/>
  <c r="J27" i="19"/>
  <c r="I127" i="20" s="1"/>
  <c r="I29" i="19"/>
  <c r="H129" i="20" s="1"/>
  <c r="I32" i="19"/>
  <c r="H132" i="20" s="1"/>
  <c r="AC33" i="19"/>
  <c r="J37" i="19"/>
  <c r="I137" i="20" s="1"/>
  <c r="AC39" i="19"/>
  <c r="R30" i="16"/>
  <c r="S36" i="16"/>
  <c r="R48" i="16"/>
  <c r="S51" i="16"/>
  <c r="S72" i="16"/>
  <c r="S79" i="16"/>
  <c r="E27" i="23"/>
  <c r="E33" i="23"/>
  <c r="I51" i="23"/>
  <c r="J6" i="2"/>
  <c r="AD10" i="2"/>
  <c r="J12" i="2"/>
  <c r="J14" i="2"/>
  <c r="J40" i="2"/>
  <c r="AD43" i="2"/>
  <c r="O39" i="20" s="1"/>
  <c r="AD46" i="2"/>
  <c r="O42" i="20" s="1"/>
  <c r="I47" i="2"/>
  <c r="I6" i="8"/>
  <c r="H7" i="8"/>
  <c r="R80" i="20"/>
  <c r="AK6" i="19"/>
  <c r="AJ9" i="19"/>
  <c r="S109" i="20" s="1"/>
  <c r="I19" i="19"/>
  <c r="H119" i="20" s="1"/>
  <c r="I21" i="19"/>
  <c r="H121" i="20" s="1"/>
  <c r="AJ24" i="19"/>
  <c r="S124" i="20" s="1"/>
  <c r="I28" i="19"/>
  <c r="H128" i="20" s="1"/>
  <c r="AD30" i="19"/>
  <c r="J32" i="19"/>
  <c r="I132" i="20" s="1"/>
  <c r="J46" i="19"/>
  <c r="I146" i="20" s="1"/>
  <c r="S8" i="16"/>
  <c r="S14" i="16"/>
  <c r="S22" i="16"/>
  <c r="R33" i="16"/>
  <c r="Y33" i="16" s="1"/>
  <c r="R41" i="16"/>
  <c r="S50" i="16"/>
  <c r="S70" i="16"/>
  <c r="R80" i="16"/>
  <c r="S85" i="16"/>
  <c r="R90" i="16"/>
  <c r="R104" i="16"/>
  <c r="S106" i="16"/>
  <c r="R109" i="16"/>
  <c r="AC18" i="19"/>
  <c r="M118" i="20"/>
  <c r="AH30" i="19"/>
  <c r="Q148" i="20" s="1"/>
  <c r="AC30" i="19"/>
  <c r="S6" i="16"/>
  <c r="R6" i="16"/>
  <c r="R39" i="16"/>
  <c r="S39" i="16"/>
  <c r="D10" i="21"/>
  <c r="N157" i="20"/>
  <c r="I33" i="8"/>
  <c r="H32" i="8"/>
  <c r="H33" i="8"/>
  <c r="I31" i="8"/>
  <c r="H31" i="8"/>
  <c r="I32" i="8"/>
  <c r="AI31" i="8"/>
  <c r="S86" i="20" s="1"/>
  <c r="AD14" i="2"/>
  <c r="AC14" i="2"/>
  <c r="AD18" i="2"/>
  <c r="AC18" i="2"/>
  <c r="B5" i="21"/>
  <c r="X148" i="20"/>
  <c r="N139" i="20"/>
  <c r="M158" i="20"/>
  <c r="J17" i="2"/>
  <c r="I17" i="2"/>
  <c r="X18" i="20"/>
  <c r="X60" i="20" s="1"/>
  <c r="AK9" i="19"/>
  <c r="U109" i="20" s="1"/>
  <c r="AC9" i="19"/>
  <c r="M109" i="20"/>
  <c r="X153" i="20"/>
  <c r="S18" i="23"/>
  <c r="R42" i="23"/>
  <c r="S42" i="23" s="1"/>
  <c r="J7" i="2"/>
  <c r="J9" i="2"/>
  <c r="J11" i="2"/>
  <c r="J13" i="2"/>
  <c r="I27" i="2"/>
  <c r="J36" i="2"/>
  <c r="I35" i="2"/>
  <c r="AD34" i="2"/>
  <c r="I36" i="2"/>
  <c r="J34" i="2"/>
  <c r="AM34" i="2"/>
  <c r="AS34" i="2" s="1"/>
  <c r="AC34" i="2"/>
  <c r="U39" i="20"/>
  <c r="AI6" i="19"/>
  <c r="AM9" i="19"/>
  <c r="W109" i="20" s="1"/>
  <c r="AD15" i="19"/>
  <c r="J17" i="19"/>
  <c r="I117" i="20" s="1"/>
  <c r="S34" i="16"/>
  <c r="R34" i="16"/>
  <c r="Z48" i="23"/>
  <c r="G27" i="23"/>
  <c r="I42" i="23"/>
  <c r="AC6" i="2"/>
  <c r="AC10" i="2"/>
  <c r="AS31" i="2"/>
  <c r="AM31" i="2"/>
  <c r="AC31" i="2"/>
  <c r="J38" i="2"/>
  <c r="J37" i="2"/>
  <c r="I38" i="2"/>
  <c r="AD37" i="2"/>
  <c r="I37" i="2"/>
  <c r="AM43" i="2"/>
  <c r="AS43" i="2" s="1"/>
  <c r="AK6" i="8"/>
  <c r="U62" i="20" s="1"/>
  <c r="AJ6" i="8"/>
  <c r="AN6" i="8" s="1"/>
  <c r="AC6" i="8"/>
  <c r="AK25" i="8"/>
  <c r="U80" i="20" s="1"/>
  <c r="AD25" i="8"/>
  <c r="AJ25" i="8"/>
  <c r="AN25" i="8" s="1"/>
  <c r="AC25" i="8"/>
  <c r="J6" i="19"/>
  <c r="I106" i="20" s="1"/>
  <c r="J7" i="19"/>
  <c r="I107" i="20" s="1"/>
  <c r="AD6" i="19"/>
  <c r="I6" i="19"/>
  <c r="H106" i="20" s="1"/>
  <c r="AJ6" i="19"/>
  <c r="S96" i="16"/>
  <c r="R96" i="16"/>
  <c r="S98" i="16"/>
  <c r="R98" i="16"/>
  <c r="F48" i="23"/>
  <c r="R36" i="23"/>
  <c r="S36" i="23" s="1"/>
  <c r="Y36" i="23" s="1"/>
  <c r="I21" i="2"/>
  <c r="J26" i="2"/>
  <c r="J27" i="2"/>
  <c r="I26" i="2"/>
  <c r="V21" i="20"/>
  <c r="J25" i="2"/>
  <c r="AD25" i="2"/>
  <c r="K62" i="23"/>
  <c r="U30" i="20"/>
  <c r="AK12" i="8"/>
  <c r="U68" i="20" s="1"/>
  <c r="AC12" i="8"/>
  <c r="I7" i="19"/>
  <c r="H107" i="20" s="1"/>
  <c r="I17" i="19"/>
  <c r="H117" i="20" s="1"/>
  <c r="I16" i="19"/>
  <c r="H116" i="20" s="1"/>
  <c r="AJ15" i="19"/>
  <c r="S115" i="20" s="1"/>
  <c r="J15" i="19"/>
  <c r="I115" i="20" s="1"/>
  <c r="AI15" i="19"/>
  <c r="R115" i="20" s="1"/>
  <c r="I15" i="19"/>
  <c r="H115" i="20" s="1"/>
  <c r="S24" i="16"/>
  <c r="R24" i="16"/>
  <c r="R88" i="16"/>
  <c r="S88" i="16"/>
  <c r="R134" i="16"/>
  <c r="S134" i="16"/>
  <c r="J29" i="2"/>
  <c r="I41" i="2"/>
  <c r="I44" i="2"/>
  <c r="J45" i="2"/>
  <c r="S42" i="20"/>
  <c r="J47" i="2"/>
  <c r="H8" i="8"/>
  <c r="I9" i="8"/>
  <c r="I10" i="8"/>
  <c r="H13" i="8"/>
  <c r="AD15" i="8"/>
  <c r="H16" i="8"/>
  <c r="I17" i="8"/>
  <c r="I22" i="8"/>
  <c r="H23" i="8"/>
  <c r="S80" i="20"/>
  <c r="H27" i="8"/>
  <c r="I11" i="19"/>
  <c r="H111" i="20" s="1"/>
  <c r="J12" i="19"/>
  <c r="I112" i="20" s="1"/>
  <c r="AJ12" i="19"/>
  <c r="S112" i="20" s="1"/>
  <c r="AD18" i="19"/>
  <c r="AM18" i="19" s="1"/>
  <c r="W118" i="20" s="1"/>
  <c r="I20" i="19"/>
  <c r="H120" i="20" s="1"/>
  <c r="J21" i="19"/>
  <c r="I121" i="20" s="1"/>
  <c r="J23" i="19"/>
  <c r="I123" i="20" s="1"/>
  <c r="I26" i="19"/>
  <c r="H126" i="20" s="1"/>
  <c r="AK27" i="19"/>
  <c r="U127" i="20" s="1"/>
  <c r="AC27" i="19"/>
  <c r="I39" i="19"/>
  <c r="H139" i="20" s="1"/>
  <c r="J43" i="19"/>
  <c r="I143" i="20" s="1"/>
  <c r="I43" i="19"/>
  <c r="H143" i="20" s="1"/>
  <c r="AJ42" i="19"/>
  <c r="S142" i="20" s="1"/>
  <c r="J44" i="19"/>
  <c r="I144" i="20" s="1"/>
  <c r="AI42" i="19"/>
  <c r="R142" i="20" s="1"/>
  <c r="J42" i="19"/>
  <c r="I142" i="20" s="1"/>
  <c r="AD42" i="19"/>
  <c r="S27" i="16"/>
  <c r="S46" i="16"/>
  <c r="R46" i="16"/>
  <c r="S62" i="16"/>
  <c r="R62" i="16"/>
  <c r="S126" i="16"/>
  <c r="R126" i="16"/>
  <c r="S132" i="16"/>
  <c r="Z132" i="16" s="1"/>
  <c r="R132" i="16"/>
  <c r="R133" i="16"/>
  <c r="I31" i="2"/>
  <c r="AD40" i="2"/>
  <c r="S39" i="20"/>
  <c r="I6" i="21" s="1"/>
  <c r="AC46" i="2"/>
  <c r="AM46" i="2"/>
  <c r="H6" i="8"/>
  <c r="AD6" i="8"/>
  <c r="O62" i="20" s="1"/>
  <c r="H12" i="8"/>
  <c r="AD12" i="8"/>
  <c r="I15" i="8"/>
  <c r="AK15" i="8"/>
  <c r="U71" i="20" s="1"/>
  <c r="I16" i="8"/>
  <c r="R77" i="20"/>
  <c r="I23" i="8"/>
  <c r="J10" i="19"/>
  <c r="I110" i="20" s="1"/>
  <c r="J11" i="19"/>
  <c r="I111" i="20" s="1"/>
  <c r="I13" i="19"/>
  <c r="H113" i="20" s="1"/>
  <c r="I14" i="19"/>
  <c r="H114" i="20" s="1"/>
  <c r="AI18" i="19"/>
  <c r="R118" i="20" s="1"/>
  <c r="J19" i="19"/>
  <c r="I119" i="20" s="1"/>
  <c r="J20" i="19"/>
  <c r="I120" i="20" s="1"/>
  <c r="I25" i="19"/>
  <c r="H125" i="20" s="1"/>
  <c r="J26" i="19"/>
  <c r="I126" i="20" s="1"/>
  <c r="J41" i="19"/>
  <c r="I141" i="20" s="1"/>
  <c r="AI39" i="19"/>
  <c r="R139" i="20" s="1"/>
  <c r="J39" i="19"/>
  <c r="I139" i="20" s="1"/>
  <c r="I41" i="19"/>
  <c r="H141" i="20" s="1"/>
  <c r="AD39" i="19"/>
  <c r="I42" i="19"/>
  <c r="H142" i="20" s="1"/>
  <c r="S95" i="16"/>
  <c r="R95" i="16"/>
  <c r="S97" i="16"/>
  <c r="R97" i="16"/>
  <c r="S99" i="16"/>
  <c r="R99" i="16"/>
  <c r="S102" i="16"/>
  <c r="R102" i="16"/>
  <c r="AC22" i="8"/>
  <c r="S77" i="20"/>
  <c r="J9" i="19"/>
  <c r="I109" i="20" s="1"/>
  <c r="AD12" i="19"/>
  <c r="J13" i="19"/>
  <c r="I113" i="20" s="1"/>
  <c r="AC15" i="19"/>
  <c r="J18" i="19"/>
  <c r="I118" i="20" s="1"/>
  <c r="AD24" i="19"/>
  <c r="J38" i="19"/>
  <c r="I138" i="20" s="1"/>
  <c r="AI36" i="19"/>
  <c r="I38" i="19"/>
  <c r="H138" i="20" s="1"/>
  <c r="J36" i="19"/>
  <c r="I136" i="20" s="1"/>
  <c r="I37" i="19"/>
  <c r="H137" i="20" s="1"/>
  <c r="S10" i="16"/>
  <c r="R10" i="16"/>
  <c r="S12" i="16"/>
  <c r="S29" i="16"/>
  <c r="S47" i="16"/>
  <c r="R47" i="16"/>
  <c r="R52" i="16"/>
  <c r="S64" i="16"/>
  <c r="S101" i="16"/>
  <c r="W126" i="16"/>
  <c r="S128" i="16"/>
  <c r="R128" i="16"/>
  <c r="S131" i="16"/>
  <c r="R131" i="16"/>
  <c r="V155" i="20"/>
  <c r="V156" i="20"/>
  <c r="J28" i="19"/>
  <c r="I128" i="20" s="1"/>
  <c r="J29" i="19"/>
  <c r="I129" i="20" s="1"/>
  <c r="I31" i="19"/>
  <c r="H131" i="20" s="1"/>
  <c r="I35" i="19"/>
  <c r="H135" i="20" s="1"/>
  <c r="J47" i="19"/>
  <c r="I147" i="20" s="1"/>
  <c r="X84" i="16"/>
  <c r="R101" i="16"/>
  <c r="X125" i="16"/>
  <c r="Z125" i="16" s="1"/>
  <c r="W127" i="16"/>
  <c r="I27" i="19"/>
  <c r="H127" i="20" s="1"/>
  <c r="I33" i="19"/>
  <c r="H133" i="20" s="1"/>
  <c r="AD33" i="19"/>
  <c r="R18" i="16"/>
  <c r="R19" i="16"/>
  <c r="R23" i="16"/>
  <c r="R32" i="16"/>
  <c r="R37" i="16"/>
  <c r="R38" i="16"/>
  <c r="R45" i="16"/>
  <c r="R58" i="16"/>
  <c r="X58" i="16"/>
  <c r="N61" i="16"/>
  <c r="V61" i="16" s="1"/>
  <c r="R77" i="16"/>
  <c r="R78" i="16"/>
  <c r="R84" i="16"/>
  <c r="R86" i="16"/>
  <c r="R87" i="16"/>
  <c r="R94" i="16"/>
  <c r="X124" i="16"/>
  <c r="R125" i="16"/>
  <c r="S133" i="16"/>
  <c r="S63" i="23"/>
  <c r="G48" i="23"/>
  <c r="O21" i="23"/>
  <c r="O15" i="23"/>
  <c r="R136" i="16"/>
  <c r="AJ12" i="8"/>
  <c r="AN12" i="8" s="1"/>
  <c r="K39" i="23"/>
  <c r="L39" i="23" s="1"/>
  <c r="O39" i="23" s="1"/>
  <c r="P39" i="23" s="1"/>
  <c r="K30" i="23"/>
  <c r="O30" i="23" s="1"/>
  <c r="AM10" i="2"/>
  <c r="AS10" i="2" s="1"/>
  <c r="K36" i="23"/>
  <c r="O36" i="23" s="1"/>
  <c r="K33" i="23"/>
  <c r="AM14" i="2"/>
  <c r="AS14" i="2" s="1"/>
  <c r="O118" i="20"/>
  <c r="AC12" i="19"/>
  <c r="AL15" i="19"/>
  <c r="V115" i="20" s="1"/>
  <c r="N115" i="20"/>
  <c r="AK15" i="19"/>
  <c r="U115" i="20" s="1"/>
  <c r="O115" i="20"/>
  <c r="AL18" i="19"/>
  <c r="V118" i="20" s="1"/>
  <c r="N118" i="20"/>
  <c r="AK18" i="19"/>
  <c r="U118" i="20" s="1"/>
  <c r="AC24" i="19"/>
  <c r="AJ15" i="8"/>
  <c r="AN15" i="8" s="1"/>
  <c r="N27" i="23"/>
  <c r="AM18" i="2"/>
  <c r="AS18" i="2" s="1"/>
  <c r="K27" i="23"/>
  <c r="U6" i="20"/>
  <c r="V14" i="16"/>
  <c r="X14" i="16" s="1"/>
  <c r="V39" i="16"/>
  <c r="X39" i="16" s="1"/>
  <c r="V67" i="16"/>
  <c r="X67" i="16" s="1"/>
  <c r="Z67" i="16" s="1"/>
  <c r="V52" i="16"/>
  <c r="X52" i="16" s="1"/>
  <c r="Z52" i="16" s="1"/>
  <c r="V106" i="16"/>
  <c r="X106" i="16" s="1"/>
  <c r="V68" i="16"/>
  <c r="X68" i="16" s="1"/>
  <c r="V96" i="16"/>
  <c r="X96" i="16" s="1"/>
  <c r="X123" i="16"/>
  <c r="W123" i="16"/>
  <c r="V6" i="16"/>
  <c r="V7" i="16"/>
  <c r="V8" i="16"/>
  <c r="V17" i="16"/>
  <c r="W17" i="16" s="1"/>
  <c r="V29" i="16"/>
  <c r="V30" i="16"/>
  <c r="V31" i="16"/>
  <c r="V32" i="16"/>
  <c r="V40" i="16"/>
  <c r="V53" i="16"/>
  <c r="V59" i="16"/>
  <c r="V60" i="16"/>
  <c r="V79" i="16"/>
  <c r="V85" i="16"/>
  <c r="V86" i="16"/>
  <c r="V97" i="16"/>
  <c r="V18" i="16"/>
  <c r="V41" i="16"/>
  <c r="V54" i="16"/>
  <c r="V69" i="16"/>
  <c r="V80" i="16"/>
  <c r="V87" i="16"/>
  <c r="V98" i="16"/>
  <c r="V109" i="16"/>
  <c r="V19" i="16"/>
  <c r="V44" i="16"/>
  <c r="V45" i="16"/>
  <c r="V46" i="16"/>
  <c r="V57" i="16"/>
  <c r="V70" i="16"/>
  <c r="V81" i="16"/>
  <c r="V99" i="16"/>
  <c r="V110" i="16"/>
  <c r="V10" i="16"/>
  <c r="V20" i="16"/>
  <c r="V34" i="16"/>
  <c r="V47" i="16"/>
  <c r="V71" i="16"/>
  <c r="V88" i="16"/>
  <c r="V113" i="16"/>
  <c r="V11" i="16"/>
  <c r="V21" i="16"/>
  <c r="V35" i="16"/>
  <c r="V36" i="16"/>
  <c r="V37" i="16"/>
  <c r="V48" i="16"/>
  <c r="V49" i="16"/>
  <c r="V50" i="16"/>
  <c r="V62" i="16"/>
  <c r="V72" i="16"/>
  <c r="V89" i="16"/>
  <c r="V102" i="16"/>
  <c r="V103" i="16"/>
  <c r="V116" i="16"/>
  <c r="V12" i="16"/>
  <c r="V22" i="16"/>
  <c r="V23" i="16"/>
  <c r="V24" i="16"/>
  <c r="V25" i="16"/>
  <c r="V38" i="16"/>
  <c r="V51" i="16"/>
  <c r="V63" i="16"/>
  <c r="V76" i="16"/>
  <c r="V77" i="16"/>
  <c r="V90" i="16"/>
  <c r="V104" i="16"/>
  <c r="V119" i="16"/>
  <c r="V13" i="16"/>
  <c r="X13" i="16" s="1"/>
  <c r="V64" i="16"/>
  <c r="V78" i="16"/>
  <c r="V94" i="16"/>
  <c r="V95" i="16"/>
  <c r="V105" i="16"/>
  <c r="Z124" i="16" l="1"/>
  <c r="AM12" i="8"/>
  <c r="W68" i="20" s="1"/>
  <c r="V9" i="23"/>
  <c r="R39" i="23"/>
  <c r="L6" i="23"/>
  <c r="V27" i="16"/>
  <c r="Z68" i="16"/>
  <c r="Z39" i="16"/>
  <c r="X136" i="16"/>
  <c r="Z136" i="16" s="1"/>
  <c r="Z14" i="16"/>
  <c r="Z13" i="16"/>
  <c r="Z106" i="16"/>
  <c r="S9" i="16"/>
  <c r="Z9" i="16" s="1"/>
  <c r="W139" i="16"/>
  <c r="R139" i="16"/>
  <c r="H24" i="23" s="1"/>
  <c r="N139" i="16"/>
  <c r="O33" i="23"/>
  <c r="M60" i="20"/>
  <c r="M148" i="20"/>
  <c r="C8" i="21" s="1"/>
  <c r="D8" i="21" s="1"/>
  <c r="O68" i="20"/>
  <c r="AL6" i="8"/>
  <c r="V62" i="20" s="1"/>
  <c r="I53" i="23"/>
  <c r="X36" i="23"/>
  <c r="N158" i="20"/>
  <c r="D7" i="21"/>
  <c r="X42" i="23"/>
  <c r="R86" i="20"/>
  <c r="V158" i="20"/>
  <c r="AL15" i="8"/>
  <c r="X39" i="23" s="1"/>
  <c r="S139" i="16"/>
  <c r="Z134" i="16"/>
  <c r="Z131" i="16"/>
  <c r="Z133" i="16"/>
  <c r="X83" i="16"/>
  <c r="Z83" i="16" s="1"/>
  <c r="W83" i="16"/>
  <c r="Y83" i="16" s="1"/>
  <c r="X17" i="16"/>
  <c r="Z17" i="16" s="1"/>
  <c r="X75" i="16"/>
  <c r="Z75" i="16" s="1"/>
  <c r="W75" i="16"/>
  <c r="Y75" i="16" s="1"/>
  <c r="X66" i="16"/>
  <c r="Z66" i="16" s="1"/>
  <c r="W66" i="16"/>
  <c r="Y66" i="16" s="1"/>
  <c r="X56" i="16"/>
  <c r="Z56" i="16" s="1"/>
  <c r="W56" i="16"/>
  <c r="Y56" i="16" s="1"/>
  <c r="Z33" i="16"/>
  <c r="R62" i="20"/>
  <c r="U9" i="23"/>
  <c r="U21" i="23"/>
  <c r="X21" i="23" s="1"/>
  <c r="R68" i="20"/>
  <c r="F7" i="21"/>
  <c r="S21" i="23"/>
  <c r="AL33" i="19"/>
  <c r="N26" i="16"/>
  <c r="L28" i="16"/>
  <c r="N28" i="16" s="1"/>
  <c r="S148" i="20"/>
  <c r="I8" i="21" s="1"/>
  <c r="H48" i="23"/>
  <c r="B12" i="21"/>
  <c r="V36" i="20"/>
  <c r="E6" i="21"/>
  <c r="U12" i="23"/>
  <c r="X12" i="23" s="1"/>
  <c r="R24" i="20"/>
  <c r="Z96" i="16"/>
  <c r="T25" i="23"/>
  <c r="V21" i="23"/>
  <c r="S68" i="20"/>
  <c r="V33" i="20"/>
  <c r="AK30" i="19"/>
  <c r="U148" i="20" s="1"/>
  <c r="S30" i="23"/>
  <c r="V42" i="23"/>
  <c r="V48" i="23" s="1"/>
  <c r="S27" i="20"/>
  <c r="S27" i="23"/>
  <c r="W156" i="20"/>
  <c r="W158" i="20" s="1"/>
  <c r="AM27" i="19"/>
  <c r="W127" i="20" s="1"/>
  <c r="V24" i="20"/>
  <c r="H160" i="20"/>
  <c r="S12" i="23"/>
  <c r="AL22" i="8"/>
  <c r="V77" i="20" s="1"/>
  <c r="N77" i="20"/>
  <c r="X126" i="16"/>
  <c r="Z126" i="16" s="1"/>
  <c r="AM39" i="19"/>
  <c r="W139" i="20" s="1"/>
  <c r="O139" i="20"/>
  <c r="AL27" i="19"/>
  <c r="V127" i="20" s="1"/>
  <c r="N127" i="20"/>
  <c r="O71" i="20"/>
  <c r="AM15" i="8"/>
  <c r="S39" i="23"/>
  <c r="W21" i="20"/>
  <c r="AM6" i="19"/>
  <c r="AM22" i="8"/>
  <c r="W77" i="20" s="1"/>
  <c r="R27" i="23"/>
  <c r="W30" i="20"/>
  <c r="AL9" i="19"/>
  <c r="V109" i="20" s="1"/>
  <c r="N109" i="20"/>
  <c r="W39" i="20"/>
  <c r="R33" i="23"/>
  <c r="S61" i="16"/>
  <c r="R61" i="16"/>
  <c r="R156" i="20"/>
  <c r="AM24" i="19"/>
  <c r="W124" i="20" s="1"/>
  <c r="O124" i="20"/>
  <c r="AM12" i="19"/>
  <c r="W112" i="20" s="1"/>
  <c r="O112" i="20"/>
  <c r="AL9" i="8"/>
  <c r="V65" i="20" s="1"/>
  <c r="N65" i="20"/>
  <c r="S65" i="20"/>
  <c r="V15" i="23"/>
  <c r="V42" i="20"/>
  <c r="N42" i="20"/>
  <c r="V18" i="23"/>
  <c r="Y18" i="23" s="1"/>
  <c r="S21" i="20"/>
  <c r="AL42" i="19"/>
  <c r="V142" i="20" s="1"/>
  <c r="AM9" i="8"/>
  <c r="W65" i="20" s="1"/>
  <c r="O42" i="23"/>
  <c r="P42" i="23" s="1"/>
  <c r="H8" i="21"/>
  <c r="R62" i="23"/>
  <c r="S33" i="23"/>
  <c r="O157" i="20"/>
  <c r="O158" i="20" s="1"/>
  <c r="D5" i="21"/>
  <c r="AL12" i="8"/>
  <c r="V68" i="20" s="1"/>
  <c r="N68" i="20"/>
  <c r="U18" i="23"/>
  <c r="X18" i="23" s="1"/>
  <c r="R21" i="20"/>
  <c r="AM25" i="8"/>
  <c r="W80" i="20" s="1"/>
  <c r="O80" i="20"/>
  <c r="N62" i="20"/>
  <c r="E7" i="21"/>
  <c r="Q39" i="20"/>
  <c r="W42" i="20"/>
  <c r="AL6" i="19"/>
  <c r="V15" i="20"/>
  <c r="I27" i="23"/>
  <c r="I48" i="23" s="1"/>
  <c r="AM31" i="8"/>
  <c r="W86" i="20" s="1"/>
  <c r="O86" i="20"/>
  <c r="AL39" i="19"/>
  <c r="V139" i="20" s="1"/>
  <c r="AM33" i="19"/>
  <c r="R155" i="20"/>
  <c r="AL36" i="19"/>
  <c r="V136" i="20" s="1"/>
  <c r="R136" i="20"/>
  <c r="R148" i="20" s="1"/>
  <c r="X127" i="16"/>
  <c r="Z127" i="16" s="1"/>
  <c r="W36" i="20"/>
  <c r="F6" i="21"/>
  <c r="AM42" i="19"/>
  <c r="W142" i="20" s="1"/>
  <c r="O142" i="20"/>
  <c r="U15" i="23"/>
  <c r="X15" i="23" s="1"/>
  <c r="R65" i="20"/>
  <c r="N80" i="20"/>
  <c r="AL25" i="8"/>
  <c r="V80" i="20" s="1"/>
  <c r="W33" i="20"/>
  <c r="V27" i="20"/>
  <c r="R30" i="23"/>
  <c r="AM15" i="19"/>
  <c r="W115" i="20" s="1"/>
  <c r="V30" i="20"/>
  <c r="AM6" i="8"/>
  <c r="W62" i="20" s="1"/>
  <c r="W15" i="20"/>
  <c r="N86" i="20"/>
  <c r="AL31" i="8"/>
  <c r="V86" i="20" s="1"/>
  <c r="Y63" i="23"/>
  <c r="S15" i="23"/>
  <c r="X160" i="20"/>
  <c r="K24" i="23"/>
  <c r="AL12" i="19"/>
  <c r="V112" i="20" s="1"/>
  <c r="N112" i="20"/>
  <c r="AL24" i="19"/>
  <c r="V124" i="20" s="1"/>
  <c r="N124" i="20"/>
  <c r="W39" i="16"/>
  <c r="Y39" i="16" s="1"/>
  <c r="W106" i="16"/>
  <c r="Y106" i="16" s="1"/>
  <c r="W67" i="16"/>
  <c r="Y67" i="16" s="1"/>
  <c r="W52" i="16"/>
  <c r="Y52" i="16" s="1"/>
  <c r="O27" i="23"/>
  <c r="K48" i="23"/>
  <c r="L27" i="23"/>
  <c r="W14" i="16"/>
  <c r="Y14" i="16" s="1"/>
  <c r="W96" i="16"/>
  <c r="Y96" i="16" s="1"/>
  <c r="W68" i="16"/>
  <c r="Y68" i="16" s="1"/>
  <c r="X48" i="16"/>
  <c r="Z48" i="16" s="1"/>
  <c r="W48" i="16"/>
  <c r="Y48" i="16" s="1"/>
  <c r="X44" i="16"/>
  <c r="Z44" i="16" s="1"/>
  <c r="W44" i="16"/>
  <c r="Y44" i="16" s="1"/>
  <c r="X85" i="16"/>
  <c r="Z85" i="16" s="1"/>
  <c r="W85" i="16"/>
  <c r="Y85" i="16" s="1"/>
  <c r="Y17" i="16"/>
  <c r="W51" i="16"/>
  <c r="Y51" i="16" s="1"/>
  <c r="X51" i="16"/>
  <c r="Z51" i="16" s="1"/>
  <c r="X103" i="16"/>
  <c r="Z103" i="16" s="1"/>
  <c r="W103" i="16"/>
  <c r="Y103" i="16" s="1"/>
  <c r="X37" i="16"/>
  <c r="Z37" i="16" s="1"/>
  <c r="W37" i="16"/>
  <c r="Y37" i="16" s="1"/>
  <c r="X81" i="16"/>
  <c r="Z81" i="16" s="1"/>
  <c r="W81" i="16"/>
  <c r="Y81" i="16" s="1"/>
  <c r="X19" i="16"/>
  <c r="Z19" i="16" s="1"/>
  <c r="W19" i="16"/>
  <c r="Y19" i="16" s="1"/>
  <c r="X41" i="16"/>
  <c r="Z41" i="16" s="1"/>
  <c r="W41" i="16"/>
  <c r="Y41" i="16" s="1"/>
  <c r="X79" i="16"/>
  <c r="Z79" i="16" s="1"/>
  <c r="W79" i="16"/>
  <c r="Y79" i="16" s="1"/>
  <c r="X40" i="16"/>
  <c r="Z40" i="16" s="1"/>
  <c r="W40" i="16"/>
  <c r="Y40" i="16" s="1"/>
  <c r="W63" i="16"/>
  <c r="Y63" i="16" s="1"/>
  <c r="X63" i="16"/>
  <c r="Z63" i="16" s="1"/>
  <c r="X88" i="16"/>
  <c r="Z88" i="16" s="1"/>
  <c r="W88" i="16"/>
  <c r="Y88" i="16" s="1"/>
  <c r="X54" i="16"/>
  <c r="Z54" i="16" s="1"/>
  <c r="W54" i="16"/>
  <c r="Y54" i="16" s="1"/>
  <c r="W119" i="16"/>
  <c r="Y119" i="16" s="1"/>
  <c r="X119" i="16"/>
  <c r="Z119" i="16" s="1"/>
  <c r="W38" i="16"/>
  <c r="Y38" i="16" s="1"/>
  <c r="X38" i="16"/>
  <c r="Z38" i="16" s="1"/>
  <c r="X102" i="16"/>
  <c r="Z102" i="16" s="1"/>
  <c r="W102" i="16"/>
  <c r="Y102" i="16" s="1"/>
  <c r="X36" i="16"/>
  <c r="Z36" i="16" s="1"/>
  <c r="W36" i="16"/>
  <c r="Y36" i="16" s="1"/>
  <c r="X71" i="16"/>
  <c r="Z71" i="16" s="1"/>
  <c r="W71" i="16"/>
  <c r="Y71" i="16" s="1"/>
  <c r="X70" i="16"/>
  <c r="Z70" i="16" s="1"/>
  <c r="W70" i="16"/>
  <c r="Y70" i="16" s="1"/>
  <c r="X18" i="16"/>
  <c r="Z18" i="16" s="1"/>
  <c r="W18" i="16"/>
  <c r="Y18" i="16" s="1"/>
  <c r="X8" i="16"/>
  <c r="Z8" i="16" s="1"/>
  <c r="W8" i="16"/>
  <c r="Y8" i="16" s="1"/>
  <c r="X116" i="16"/>
  <c r="Z116" i="16" s="1"/>
  <c r="W116" i="16"/>
  <c r="Y116" i="16" s="1"/>
  <c r="X99" i="16"/>
  <c r="Z99" i="16" s="1"/>
  <c r="W99" i="16"/>
  <c r="Y99" i="16" s="1"/>
  <c r="W105" i="16"/>
  <c r="Y105" i="16" s="1"/>
  <c r="X105" i="16"/>
  <c r="Z105" i="16" s="1"/>
  <c r="W95" i="16"/>
  <c r="Y95" i="16" s="1"/>
  <c r="X95" i="16"/>
  <c r="Z95" i="16" s="1"/>
  <c r="W104" i="16"/>
  <c r="Y104" i="16" s="1"/>
  <c r="X104" i="16"/>
  <c r="Z104" i="16" s="1"/>
  <c r="W25" i="16"/>
  <c r="Y25" i="16" s="1"/>
  <c r="X25" i="16"/>
  <c r="Z25" i="16" s="1"/>
  <c r="X89" i="16"/>
  <c r="Z89" i="16" s="1"/>
  <c r="W89" i="16"/>
  <c r="Y89" i="16" s="1"/>
  <c r="X35" i="16"/>
  <c r="Z35" i="16" s="1"/>
  <c r="W35" i="16"/>
  <c r="Y35" i="16" s="1"/>
  <c r="X47" i="16"/>
  <c r="Z47" i="16" s="1"/>
  <c r="W47" i="16"/>
  <c r="Y47" i="16" s="1"/>
  <c r="X61" i="16"/>
  <c r="W61" i="16"/>
  <c r="X109" i="16"/>
  <c r="Z109" i="16" s="1"/>
  <c r="W109" i="16"/>
  <c r="Y109" i="16" s="1"/>
  <c r="X108" i="16"/>
  <c r="W108" i="16"/>
  <c r="X32" i="16"/>
  <c r="Z32" i="16" s="1"/>
  <c r="W32" i="16"/>
  <c r="Y32" i="16" s="1"/>
  <c r="X7" i="16"/>
  <c r="Z7" i="16" s="1"/>
  <c r="W7" i="16"/>
  <c r="Y7" i="16" s="1"/>
  <c r="W78" i="16"/>
  <c r="Y78" i="16" s="1"/>
  <c r="X78" i="16"/>
  <c r="Z78" i="16" s="1"/>
  <c r="W94" i="16"/>
  <c r="Y94" i="16" s="1"/>
  <c r="X94" i="16"/>
  <c r="Z94" i="16" s="1"/>
  <c r="W24" i="16"/>
  <c r="Y24" i="16" s="1"/>
  <c r="X24" i="16"/>
  <c r="Z24" i="16" s="1"/>
  <c r="X21" i="16"/>
  <c r="Z21" i="16" s="1"/>
  <c r="W21" i="16"/>
  <c r="Y21" i="16" s="1"/>
  <c r="X57" i="16"/>
  <c r="Z57" i="16" s="1"/>
  <c r="W57" i="16"/>
  <c r="Y57" i="16" s="1"/>
  <c r="X98" i="16"/>
  <c r="Z98" i="16" s="1"/>
  <c r="W98" i="16"/>
  <c r="Y98" i="16" s="1"/>
  <c r="X31" i="16"/>
  <c r="Z31" i="16" s="1"/>
  <c r="W31" i="16"/>
  <c r="Y31" i="16" s="1"/>
  <c r="X6" i="16"/>
  <c r="W6" i="16"/>
  <c r="W90" i="16"/>
  <c r="Y90" i="16" s="1"/>
  <c r="X90" i="16"/>
  <c r="Z90" i="16" s="1"/>
  <c r="X72" i="16"/>
  <c r="Z72" i="16" s="1"/>
  <c r="W72" i="16"/>
  <c r="Y72" i="16" s="1"/>
  <c r="X34" i="16"/>
  <c r="Z34" i="16" s="1"/>
  <c r="W34" i="16"/>
  <c r="Y34" i="16" s="1"/>
  <c r="W93" i="16"/>
  <c r="Y93" i="16" s="1"/>
  <c r="X93" i="16"/>
  <c r="Z93" i="16" s="1"/>
  <c r="W77" i="16"/>
  <c r="Y77" i="16" s="1"/>
  <c r="X77" i="16"/>
  <c r="Z77" i="16" s="1"/>
  <c r="W23" i="16"/>
  <c r="Y23" i="16" s="1"/>
  <c r="X23" i="16"/>
  <c r="Z23" i="16" s="1"/>
  <c r="X62" i="16"/>
  <c r="Z62" i="16" s="1"/>
  <c r="W62" i="16"/>
  <c r="Y62" i="16" s="1"/>
  <c r="X11" i="16"/>
  <c r="Z11" i="16" s="1"/>
  <c r="W11" i="16"/>
  <c r="Y11" i="16" s="1"/>
  <c r="X20" i="16"/>
  <c r="Z20" i="16" s="1"/>
  <c r="W20" i="16"/>
  <c r="Y20" i="16" s="1"/>
  <c r="X87" i="16"/>
  <c r="Z87" i="16" s="1"/>
  <c r="W87" i="16"/>
  <c r="Y87" i="16" s="1"/>
  <c r="X97" i="16"/>
  <c r="Z97" i="16" s="1"/>
  <c r="W97" i="16"/>
  <c r="Y97" i="16" s="1"/>
  <c r="X60" i="16"/>
  <c r="Z60" i="16" s="1"/>
  <c r="W60" i="16"/>
  <c r="Y60" i="16" s="1"/>
  <c r="X30" i="16"/>
  <c r="Z30" i="16" s="1"/>
  <c r="W30" i="16"/>
  <c r="Y30" i="16" s="1"/>
  <c r="W22" i="16"/>
  <c r="Y22" i="16" s="1"/>
  <c r="X22" i="16"/>
  <c r="Z22" i="16" s="1"/>
  <c r="X113" i="16"/>
  <c r="W113" i="16"/>
  <c r="X10" i="16"/>
  <c r="Z10" i="16" s="1"/>
  <c r="W10" i="16"/>
  <c r="Y10" i="16" s="1"/>
  <c r="X46" i="16"/>
  <c r="Z46" i="16" s="1"/>
  <c r="W46" i="16"/>
  <c r="Y46" i="16" s="1"/>
  <c r="X80" i="16"/>
  <c r="Z80" i="16" s="1"/>
  <c r="W80" i="16"/>
  <c r="Y80" i="16" s="1"/>
  <c r="X59" i="16"/>
  <c r="Z59" i="16" s="1"/>
  <c r="W59" i="16"/>
  <c r="Y59" i="16" s="1"/>
  <c r="X29" i="16"/>
  <c r="Z29" i="16" s="1"/>
  <c r="W29" i="16"/>
  <c r="Y29" i="16" s="1"/>
  <c r="Z123" i="16"/>
  <c r="W76" i="16"/>
  <c r="Y76" i="16" s="1"/>
  <c r="X76" i="16"/>
  <c r="Z76" i="16" s="1"/>
  <c r="X50" i="16"/>
  <c r="Z50" i="16" s="1"/>
  <c r="W50" i="16"/>
  <c r="Y50" i="16" s="1"/>
  <c r="W64" i="16"/>
  <c r="Y64" i="16" s="1"/>
  <c r="X64" i="16"/>
  <c r="Z64" i="16" s="1"/>
  <c r="W12" i="16"/>
  <c r="Y12" i="16" s="1"/>
  <c r="X12" i="16"/>
  <c r="Z12" i="16" s="1"/>
  <c r="X49" i="16"/>
  <c r="Z49" i="16" s="1"/>
  <c r="W49" i="16"/>
  <c r="Y49" i="16" s="1"/>
  <c r="X101" i="16"/>
  <c r="Z101" i="16" s="1"/>
  <c r="W101" i="16"/>
  <c r="Y101" i="16" s="1"/>
  <c r="X110" i="16"/>
  <c r="Z110" i="16" s="1"/>
  <c r="W110" i="16"/>
  <c r="Y110" i="16" s="1"/>
  <c r="X45" i="16"/>
  <c r="Z45" i="16" s="1"/>
  <c r="W45" i="16"/>
  <c r="Y45" i="16" s="1"/>
  <c r="X69" i="16"/>
  <c r="Z69" i="16" s="1"/>
  <c r="W69" i="16"/>
  <c r="Y69" i="16" s="1"/>
  <c r="X86" i="16"/>
  <c r="Z86" i="16" s="1"/>
  <c r="W86" i="16"/>
  <c r="Y86" i="16" s="1"/>
  <c r="X53" i="16"/>
  <c r="Z53" i="16" s="1"/>
  <c r="W53" i="16"/>
  <c r="Y53" i="16" s="1"/>
  <c r="X27" i="16"/>
  <c r="Z27" i="16" s="1"/>
  <c r="W27" i="16"/>
  <c r="Y27" i="16" s="1"/>
  <c r="S104" i="20" l="1"/>
  <c r="Z61" i="16"/>
  <c r="N150" i="20"/>
  <c r="O150" i="20" s="1"/>
  <c r="O153" i="20" s="1"/>
  <c r="Z139" i="16"/>
  <c r="O104" i="20"/>
  <c r="R104" i="20"/>
  <c r="H7" i="21" s="1"/>
  <c r="N104" i="20"/>
  <c r="N60" i="20"/>
  <c r="O60" i="20"/>
  <c r="S48" i="23"/>
  <c r="Y21" i="23"/>
  <c r="Q86" i="20"/>
  <c r="Q104" i="20" s="1"/>
  <c r="AK31" i="8"/>
  <c r="U86" i="20" s="1"/>
  <c r="U104" i="20" s="1"/>
  <c r="AJ31" i="8"/>
  <c r="AN31" i="8" s="1"/>
  <c r="R158" i="20"/>
  <c r="H10" i="21" s="1"/>
  <c r="G10" i="21" s="1"/>
  <c r="G8" i="21"/>
  <c r="O148" i="20"/>
  <c r="F8" i="21" s="1"/>
  <c r="V71" i="20"/>
  <c r="V104" i="20" s="1"/>
  <c r="X139" i="16"/>
  <c r="Y15" i="23"/>
  <c r="N148" i="20"/>
  <c r="E8" i="21" s="1"/>
  <c r="Y27" i="23"/>
  <c r="W6" i="20"/>
  <c r="R28" i="16"/>
  <c r="S28" i="16"/>
  <c r="Y61" i="16"/>
  <c r="I7" i="21"/>
  <c r="Y30" i="23"/>
  <c r="W9" i="20"/>
  <c r="S26" i="16"/>
  <c r="R26" i="16"/>
  <c r="Y42" i="23"/>
  <c r="H5" i="21"/>
  <c r="Y33" i="23"/>
  <c r="W12" i="20"/>
  <c r="O9" i="23"/>
  <c r="X33" i="23"/>
  <c r="V12" i="20"/>
  <c r="X27" i="23"/>
  <c r="V6" i="20"/>
  <c r="W148" i="20"/>
  <c r="U155" i="20"/>
  <c r="Q155" i="20"/>
  <c r="S62" i="23"/>
  <c r="X62" i="23"/>
  <c r="U156" i="20"/>
  <c r="Q156" i="20"/>
  <c r="R48" i="23"/>
  <c r="X30" i="23"/>
  <c r="V9" i="20"/>
  <c r="R39" i="20"/>
  <c r="H6" i="21" s="1"/>
  <c r="G6" i="21" s="1"/>
  <c r="V39" i="20"/>
  <c r="W71" i="20"/>
  <c r="W104" i="20" s="1"/>
  <c r="Y39" i="23"/>
  <c r="I24" i="23"/>
  <c r="H25" i="23"/>
  <c r="N152" i="20"/>
  <c r="U24" i="23"/>
  <c r="V148" i="20"/>
  <c r="L48" i="23"/>
  <c r="P27" i="23"/>
  <c r="O48" i="23"/>
  <c r="V24" i="23"/>
  <c r="Z6" i="16"/>
  <c r="Y113" i="16"/>
  <c r="Z113" i="16"/>
  <c r="Y6" i="16"/>
  <c r="M160" i="20" l="1"/>
  <c r="D9" i="21"/>
  <c r="D12" i="21" s="1"/>
  <c r="R60" i="20"/>
  <c r="V60" i="20"/>
  <c r="G7" i="21"/>
  <c r="I25" i="23"/>
  <c r="O160" i="20"/>
  <c r="N153" i="20"/>
  <c r="N160" i="20" s="1"/>
  <c r="Y26" i="16"/>
  <c r="E12" i="21"/>
  <c r="Q158" i="20"/>
  <c r="Z26" i="16"/>
  <c r="F12" i="21"/>
  <c r="X48" i="23"/>
  <c r="U158" i="20"/>
  <c r="S9" i="23"/>
  <c r="X9" i="23"/>
  <c r="Y62" i="23"/>
  <c r="Y48" i="23"/>
  <c r="O24" i="23"/>
  <c r="H9" i="21"/>
  <c r="P48" i="23"/>
  <c r="I9" i="21"/>
  <c r="U25" i="23"/>
  <c r="Y24" i="23"/>
  <c r="C12" i="21" l="1"/>
  <c r="V160" i="20"/>
  <c r="S25" i="23"/>
  <c r="Y9" i="23"/>
  <c r="X24" i="23"/>
  <c r="X25" i="23" s="1"/>
  <c r="R160" i="20"/>
  <c r="G9" i="21"/>
  <c r="H12" i="21"/>
  <c r="V12" i="23" l="1"/>
  <c r="V25" i="23" s="1"/>
  <c r="W24" i="20"/>
  <c r="S24" i="20"/>
  <c r="S60" i="20" l="1"/>
  <c r="S160" i="20" s="1"/>
  <c r="W60" i="20"/>
  <c r="W160" i="20" s="1"/>
  <c r="AM28" i="2"/>
  <c r="AS28" i="2" s="1"/>
  <c r="K12" i="23"/>
  <c r="U24" i="20"/>
  <c r="I5" i="21"/>
  <c r="I12" i="21" s="1"/>
  <c r="Y12" i="23"/>
  <c r="Y25" i="23" s="1"/>
  <c r="U60" i="20" l="1"/>
  <c r="U160" i="20" s="1"/>
  <c r="Q60" i="20"/>
  <c r="Q160" i="20" s="1"/>
  <c r="L12" i="23"/>
  <c r="O12" i="23"/>
  <c r="K25" i="23"/>
  <c r="G5" i="21"/>
  <c r="G12" i="21" s="1"/>
  <c r="O25" i="23" l="1"/>
</calcChain>
</file>

<file path=xl/sharedStrings.xml><?xml version="1.0" encoding="utf-8"?>
<sst xmlns="http://schemas.openxmlformats.org/spreadsheetml/2006/main" count="1759" uniqueCount="714">
  <si>
    <t>Sample Procurement Plan</t>
  </si>
  <si>
    <t>Loan/Credit Numbers:</t>
  </si>
  <si>
    <t>Goods</t>
  </si>
  <si>
    <t>Works</t>
  </si>
  <si>
    <t>Prior Review Threshold (USD)</t>
  </si>
  <si>
    <t>Procurement Method</t>
  </si>
  <si>
    <t>Comments</t>
  </si>
  <si>
    <t>ICB and LIB (Goods)</t>
  </si>
  <si>
    <t>NCB (Goods)</t>
  </si>
  <si>
    <t>ICB (Works)</t>
  </si>
  <si>
    <t>NCB (Works)</t>
  </si>
  <si>
    <t>Project Information</t>
  </si>
  <si>
    <t>1.</t>
  </si>
  <si>
    <t>2.</t>
  </si>
  <si>
    <t>3.</t>
  </si>
  <si>
    <t>Date of General Procurement Notice</t>
  </si>
  <si>
    <t>Bank's approval date of Procurement Plan</t>
  </si>
  <si>
    <t>II. Goods, Work and Non-Consulting Services Thresholds</t>
  </si>
  <si>
    <t>I. General</t>
  </si>
  <si>
    <r>
      <t>Proposed Procedures for CDD Components</t>
    </r>
    <r>
      <rPr>
        <sz val="10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Refer to the relevant CDD project implementation document approved by the Bank</t>
    </r>
  </si>
  <si>
    <t xml:space="preserve">Reference to (if any) Project Operational/Procurement Manual: </t>
  </si>
  <si>
    <t>6.</t>
  </si>
  <si>
    <t>5.</t>
  </si>
  <si>
    <t>4.</t>
  </si>
  <si>
    <t>1a.</t>
  </si>
  <si>
    <t>1b.</t>
  </si>
  <si>
    <r>
      <t>Prior Review Threshold.</t>
    </r>
    <r>
      <rPr>
        <sz val="10"/>
        <rFont val="Arial"/>
        <family val="2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</si>
  <si>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t>Shopping (Goods)</t>
  </si>
  <si>
    <t>Procurement Category</t>
  </si>
  <si>
    <t>Project ID:</t>
  </si>
  <si>
    <t>Country:</t>
  </si>
  <si>
    <t>Project Name:</t>
  </si>
  <si>
    <t>Procurement Method Threshold (USD)</t>
  </si>
  <si>
    <t>Original:</t>
  </si>
  <si>
    <t>Revision 1:</t>
  </si>
  <si>
    <t>Add new revisions</t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</si>
  <si>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</si>
  <si>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</si>
  <si>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(Competitive)</t>
  </si>
  <si>
    <t>Individual Consultants (Competitive)</t>
  </si>
  <si>
    <t>Expected Outcome/ Activity Description</t>
  </si>
  <si>
    <t>Estimated Cost</t>
  </si>
  <si>
    <t>Estimated Duration</t>
  </si>
  <si>
    <t>Start Date</t>
  </si>
  <si>
    <t>Completion Date</t>
  </si>
  <si>
    <t>Capacity Building Activities</t>
  </si>
  <si>
    <t>QCBS</t>
  </si>
  <si>
    <t>LCS</t>
  </si>
  <si>
    <t>CQS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</si>
  <si>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</si>
  <si>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>Procurement Packages with Methods and Time Schedule:</t>
    </r>
    <r>
      <rPr>
        <sz val="10"/>
        <rFont val="Arial"/>
        <family val="2"/>
      </rPr>
      <t xml:space="preserve"> See attached "Goods and Works" sheet
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</si>
  <si>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</si>
  <si>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http://go.worldbank.org/MKXO98RY40</t>
  </si>
  <si>
    <t>Note: OPCPR list of ceilings can be found here:</t>
  </si>
  <si>
    <t>SL No.</t>
  </si>
  <si>
    <t>Description of Services</t>
  </si>
  <si>
    <t>Advertising for Short listing (Date)</t>
  </si>
  <si>
    <t>TOR/Shortlist to be Finalised (Date)</t>
  </si>
  <si>
    <t>RFP Issued (Date)</t>
  </si>
  <si>
    <t>Method of Selection</t>
  </si>
  <si>
    <t>No Objection by the Bank (Technical/ #Combined/ Draft Contract/ Final Contract) (Date)**</t>
  </si>
  <si>
    <t>Prior</t>
  </si>
  <si>
    <t>Post</t>
  </si>
  <si>
    <t>Currency of Estimated Cost</t>
  </si>
  <si>
    <t>Package/ Reference No.</t>
  </si>
  <si>
    <t>Expenses Incurred to Date</t>
  </si>
  <si>
    <t>Proposal Submission Deadline (Date)</t>
  </si>
  <si>
    <t>Procurement Plan for Consultant Services</t>
  </si>
  <si>
    <t>No Objection by the Bank to the Technical Evaluation Report
(Date)**</t>
  </si>
  <si>
    <t>Services Completion (Date)</t>
  </si>
  <si>
    <t>Firm</t>
  </si>
  <si>
    <t>Individual</t>
  </si>
  <si>
    <t>Procurement Plan for Goods/Works/Non-Consulting Services</t>
  </si>
  <si>
    <t>Prequalification</t>
  </si>
  <si>
    <t>Estimated Cost and Date of Estimate</t>
  </si>
  <si>
    <t>Prequalification (yes/no)</t>
  </si>
  <si>
    <t>Yes</t>
  </si>
  <si>
    <t>No</t>
  </si>
  <si>
    <t>Domestic Preference (yes/no)</t>
  </si>
  <si>
    <t>Preparation of Bid Document  (Date)</t>
  </si>
  <si>
    <t>Bank’s No Objection to Bidding Document  (Date)**</t>
  </si>
  <si>
    <t>Bid Invitation (Date)</t>
  </si>
  <si>
    <t>Bid Closing (Date)</t>
  </si>
  <si>
    <t>Bid Opening (Date)</t>
  </si>
  <si>
    <t>Contract No.</t>
  </si>
  <si>
    <t>Completion of Contract (Date)</t>
  </si>
  <si>
    <t>Expenditure incurred to Date</t>
  </si>
  <si>
    <t>Planned</t>
  </si>
  <si>
    <t>Revised</t>
  </si>
  <si>
    <t>Actual</t>
  </si>
  <si>
    <t>Contract Value</t>
  </si>
  <si>
    <t>Contract Currency</t>
  </si>
  <si>
    <t>Contract Signed (Date)</t>
  </si>
  <si>
    <t>Bank’s No Objection to Bid Evaulation Report and Contract Award (Date)**</t>
  </si>
  <si>
    <t>Name, City, and Country of Contractor (incl. Zip Code if US)</t>
  </si>
  <si>
    <t>** Applicable in case of Bank's prior review</t>
  </si>
  <si>
    <t>Description of Goods/ Works</t>
  </si>
  <si>
    <t>Non-Consulting Services</t>
  </si>
  <si>
    <t>Goods/ Works/ NCS</t>
  </si>
  <si>
    <t>No Objection from Bank for Draft Prequalification documents (Date)**</t>
  </si>
  <si>
    <t>No Objection from Bank for Evaluation of Prequalification Application (Date)**</t>
  </si>
  <si>
    <t>No Objection from Bank for TOR (Date)**</t>
  </si>
  <si>
    <t>No Objection from Bank for Shortlist (Date)**</t>
  </si>
  <si>
    <t>No Objection from Bank for Final RFP (Date)**</t>
  </si>
  <si>
    <t>RFP Final Draft to be forwarded to the Bank (Date)</t>
  </si>
  <si>
    <t>Review by Bank (Prior/ Post)</t>
  </si>
  <si>
    <t>Type of Consultant (Firm/ Individual)</t>
  </si>
  <si>
    <t>In some contracts, one or more of these approvals may be contained in one Bank communication.</t>
  </si>
  <si>
    <t>Version:</t>
  </si>
  <si>
    <t>Last changed:</t>
  </si>
  <si>
    <t>Revised by:</t>
  </si>
  <si>
    <t>Andrew Alexander Jacobs</t>
  </si>
  <si>
    <t>Contract Award Decision (Date)</t>
  </si>
  <si>
    <t>USD</t>
  </si>
  <si>
    <t>BWC1-C</t>
  </si>
  <si>
    <t>BWC2-2</t>
  </si>
  <si>
    <t>BWC1-1</t>
  </si>
  <si>
    <t>QCBS-IC</t>
  </si>
  <si>
    <t>Supervision of Meters</t>
  </si>
  <si>
    <t>Other Consultancies</t>
  </si>
  <si>
    <t>BWW2-1</t>
  </si>
  <si>
    <t>BWW2-2</t>
  </si>
  <si>
    <t>BWW2-3</t>
  </si>
  <si>
    <t>BWW2-4</t>
  </si>
  <si>
    <t>ICB</t>
  </si>
  <si>
    <t>NO</t>
  </si>
  <si>
    <t>Greater Beirut Water Supply Project</t>
  </si>
  <si>
    <t>Lebanon</t>
  </si>
  <si>
    <t>7967-LE/</t>
  </si>
  <si>
    <t>IBRD 7010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</si>
  <si>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200,000.00</t>
    </r>
  </si>
  <si>
    <t>&lt;200,000.00</t>
  </si>
  <si>
    <t>&lt;  50,000.00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</si>
  <si>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5,000,000.00</t>
    </r>
  </si>
  <si>
    <t>&lt;5,000,000.00</t>
  </si>
  <si>
    <t>&lt;50,000.00</t>
  </si>
  <si>
    <t>Shopping (Works)</t>
  </si>
  <si>
    <r>
      <t>Prequalification.</t>
    </r>
    <r>
      <rPr>
        <sz val="10"/>
        <rFont val="Arial"/>
        <family val="2"/>
      </rPr>
      <t xml:space="preserve"> Bidders for __</t>
    </r>
    <r>
      <rPr>
        <b/>
        <sz val="10"/>
        <color indexed="10"/>
        <rFont val="Arial"/>
        <family val="2"/>
      </rPr>
      <t>WTP</t>
    </r>
    <r>
      <rPr>
        <sz val="10"/>
        <rFont val="Arial"/>
        <family val="2"/>
      </rPr>
      <t>_______ shall be prequlified in accordance with the provisions of paragraphs 2.9 and 2.10 of the Guidelines.</t>
    </r>
  </si>
  <si>
    <r>
      <t>Any Other Special Procurement Arrangements:</t>
    </r>
    <r>
      <rPr>
        <sz val="10"/>
        <rFont val="Arial"/>
        <family val="2"/>
      </rPr>
      <t>Retroactive financing between Oct 1, 2010 and Loan Signing Date (</t>
    </r>
    <r>
      <rPr>
        <sz val="10"/>
        <rFont val="Calibri"/>
        <family val="2"/>
      </rPr>
      <t>≤</t>
    </r>
    <r>
      <rPr>
        <sz val="10"/>
        <rFont val="Arial"/>
        <family val="2"/>
      </rPr>
      <t>12 months). Expenditures will not exceed a total of USD 12 million</t>
    </r>
  </si>
  <si>
    <t>All</t>
  </si>
  <si>
    <t>Default</t>
  </si>
  <si>
    <t>TBD</t>
  </si>
  <si>
    <t>SSS</t>
  </si>
  <si>
    <t>QBS</t>
  </si>
  <si>
    <t>YES</t>
  </si>
  <si>
    <t>BWW1-B</t>
  </si>
  <si>
    <t>BWC3-2</t>
  </si>
  <si>
    <t>BMLWE External Audit</t>
  </si>
  <si>
    <t>LC</t>
  </si>
  <si>
    <t>L.L.</t>
  </si>
  <si>
    <t>207/MA</t>
  </si>
  <si>
    <t>USAMAH TABBARAH &amp; CO Auditors &amp; Consultants - NEXIA INTERNATIONAL, Beirut, Lebanon</t>
  </si>
  <si>
    <t>BWW1-C</t>
  </si>
  <si>
    <t>BWW1-A</t>
  </si>
  <si>
    <t>4 days</t>
  </si>
  <si>
    <t>Bassam Nasrallah training</t>
  </si>
  <si>
    <t>€ &amp; L.L.</t>
  </si>
  <si>
    <t>7/MA</t>
  </si>
  <si>
    <t>Distribution Networks,
Pumping Stations &amp; Reservoirs – Zone C</t>
  </si>
  <si>
    <t>Distribution Networks,
Pumping Stations &amp; Reservoirs – Zone A</t>
  </si>
  <si>
    <t>Distribution Networks,
Pumping Stations &amp; Reservoirs – Zone B</t>
  </si>
  <si>
    <t>Distribution Networks,
Pumping Stations &amp; Reservoirs – Zone D</t>
  </si>
  <si>
    <t>Tunnel &amp; Transfer lines</t>
  </si>
  <si>
    <t>Reservoirs &amp;
Transmission lines</t>
  </si>
  <si>
    <t>Wardanieh
Water Treatment Plant</t>
  </si>
  <si>
    <t>Supervision of
Tunnel &amp; Transfer lines</t>
  </si>
  <si>
    <t>Supervision of
Reservoirs &amp;
Transmission lines</t>
  </si>
  <si>
    <t>Supervision of
Wardanieh
Water Treatment Plant</t>
  </si>
  <si>
    <t>Water Distribution Networks Design &amp; Supervision</t>
  </si>
  <si>
    <t>Remarks</t>
  </si>
  <si>
    <t>Project Coordinator</t>
  </si>
  <si>
    <t>Project Operations Advisor</t>
  </si>
  <si>
    <t>Project Engineer</t>
  </si>
  <si>
    <t>Financial Manager</t>
  </si>
  <si>
    <t>Procurement Specialist</t>
  </si>
  <si>
    <t>Admin Assistant</t>
  </si>
  <si>
    <t>Electro Mechanical Eng</t>
  </si>
  <si>
    <t xml:space="preserve">Monitoring &amp; Evaluation </t>
  </si>
  <si>
    <t>Civil/Water Engineer</t>
  </si>
  <si>
    <t>Civil Engineer</t>
  </si>
  <si>
    <t>Admin Assistant MoEW</t>
  </si>
  <si>
    <t>Project Legal Advisor</t>
  </si>
  <si>
    <t>Randa Daher</t>
  </si>
  <si>
    <t>Randa Nemer</t>
  </si>
  <si>
    <t>Elie Moussalli</t>
  </si>
  <si>
    <t>Nizar Najem</t>
  </si>
  <si>
    <t>Bassam Nasrallah</t>
  </si>
  <si>
    <t>Farah Farraj</t>
  </si>
  <si>
    <t>Mazen Hammoud</t>
  </si>
  <si>
    <t>Joseph deeb</t>
  </si>
  <si>
    <t>Farid Maalouf</t>
  </si>
  <si>
    <t>Patrick Khoury</t>
  </si>
  <si>
    <t>Ziad Najjar</t>
  </si>
  <si>
    <t>Rolly Dagher</t>
  </si>
  <si>
    <t>Walid Dagher</t>
  </si>
  <si>
    <t>Name of Consultant</t>
  </si>
  <si>
    <t>Contract Start (Date)</t>
  </si>
  <si>
    <t>Administrative Assistant</t>
  </si>
  <si>
    <t>Water Engineer</t>
  </si>
  <si>
    <t>Ahmad El Hajj</t>
  </si>
  <si>
    <t>ESIA Specialist</t>
  </si>
  <si>
    <t>Noushig Kaloustian</t>
  </si>
  <si>
    <t>1-1</t>
  </si>
  <si>
    <t>1-2</t>
  </si>
  <si>
    <t>1-3</t>
  </si>
  <si>
    <t>2-1</t>
  </si>
  <si>
    <t>3-1</t>
  </si>
  <si>
    <t>3-2</t>
  </si>
  <si>
    <t>4-1</t>
  </si>
  <si>
    <t>4-2</t>
  </si>
  <si>
    <t>4-3</t>
  </si>
  <si>
    <t>5-1</t>
  </si>
  <si>
    <t>5-2</t>
  </si>
  <si>
    <t>5-3</t>
  </si>
  <si>
    <t>6-1</t>
  </si>
  <si>
    <t>7-1</t>
  </si>
  <si>
    <t>8-1</t>
  </si>
  <si>
    <t>9-1</t>
  </si>
  <si>
    <t>10-1</t>
  </si>
  <si>
    <t>11-1</t>
  </si>
  <si>
    <t>12-1</t>
  </si>
  <si>
    <t>13-1</t>
  </si>
  <si>
    <t>14-1</t>
  </si>
  <si>
    <t>15-1</t>
  </si>
  <si>
    <t>16-1</t>
  </si>
  <si>
    <t>Converted
Contract Value
in US$</t>
  </si>
  <si>
    <t>3-3</t>
  </si>
  <si>
    <t>2-2</t>
  </si>
  <si>
    <t>7-2</t>
  </si>
  <si>
    <t>BWC3-1-1-1</t>
  </si>
  <si>
    <t>BWC3-1-1-2</t>
  </si>
  <si>
    <t>BWC3-1-1-3</t>
  </si>
  <si>
    <t>BWC3-1-2-1</t>
  </si>
  <si>
    <t>BWC3-1-2-2</t>
  </si>
  <si>
    <t>BWC3-1-4-1</t>
  </si>
  <si>
    <t>BWC3-1-4-2</t>
  </si>
  <si>
    <t>BWC3-1-4-3</t>
  </si>
  <si>
    <t>BWC3-1-5-1</t>
  </si>
  <si>
    <t>BWC3-1-5-2</t>
  </si>
  <si>
    <t>BWC3-1-5-3</t>
  </si>
  <si>
    <t>BWC3-1-6-1</t>
  </si>
  <si>
    <t>BWC3-1-7-1</t>
  </si>
  <si>
    <t>BWC3-1-7-2</t>
  </si>
  <si>
    <t>BWC3-1-8-1</t>
  </si>
  <si>
    <t>BWC3-1-9-1</t>
  </si>
  <si>
    <t>BWC3-1-10-1</t>
  </si>
  <si>
    <t>BWC3-1-11-1</t>
  </si>
  <si>
    <t>BWC3-1-12-1</t>
  </si>
  <si>
    <t>BWC3-1-13-1</t>
  </si>
  <si>
    <t>BWC3-1-14-1</t>
  </si>
  <si>
    <t>BWC3-1-15-1</t>
  </si>
  <si>
    <t>BWC3-1-16-1</t>
  </si>
  <si>
    <t>6-2</t>
  </si>
  <si>
    <t>BWC3-1-6-2</t>
  </si>
  <si>
    <t>8-2</t>
  </si>
  <si>
    <t>BWC3-1-8-2</t>
  </si>
  <si>
    <t>9-2</t>
  </si>
  <si>
    <t>BWC3-1-9-2</t>
  </si>
  <si>
    <t>10-2</t>
  </si>
  <si>
    <t>BWC3-1-10-2</t>
  </si>
  <si>
    <t>11-2</t>
  </si>
  <si>
    <t>BWC3-1-11-2</t>
  </si>
  <si>
    <t>12-2</t>
  </si>
  <si>
    <t>BWC3-1-12-2</t>
  </si>
  <si>
    <t>14-2</t>
  </si>
  <si>
    <t>BWC3-1-14-2</t>
  </si>
  <si>
    <t>15-2</t>
  </si>
  <si>
    <t>BWC3-1-15-2</t>
  </si>
  <si>
    <t>17-1</t>
  </si>
  <si>
    <t>Bruna Sehnaoui</t>
  </si>
  <si>
    <t>BWC1-4-2-1</t>
  </si>
  <si>
    <t>BWC1-4-1-1</t>
  </si>
  <si>
    <t>BWC1-4-1-2</t>
  </si>
  <si>
    <t>BWC1-4-1-3</t>
  </si>
  <si>
    <t>BWC2-1</t>
  </si>
  <si>
    <t>BWC1-A</t>
  </si>
  <si>
    <t>BWC1-B</t>
  </si>
  <si>
    <t>Contract extension</t>
  </si>
  <si>
    <t>Extension in new contract form</t>
  </si>
  <si>
    <t>Finacial Specialist</t>
  </si>
  <si>
    <t>BWC3-1-1-4</t>
  </si>
  <si>
    <t>1-4</t>
  </si>
  <si>
    <t>4-4</t>
  </si>
  <si>
    <t>BWC3-1-4-4</t>
  </si>
  <si>
    <t>5-4</t>
  </si>
  <si>
    <t>BWC3-1-5-4</t>
  </si>
  <si>
    <t>16-2</t>
  </si>
  <si>
    <t>BWC3-1-16-2</t>
  </si>
  <si>
    <t>117,511.24 €
&amp;
2,972,309,536.36 L.L.</t>
  </si>
  <si>
    <t>Shopping</t>
  </si>
  <si>
    <t>Fax machine Shopping</t>
  </si>
  <si>
    <t>Computers Shopping</t>
  </si>
  <si>
    <t>1 fax machine</t>
  </si>
  <si>
    <t>PROJECT External Audit</t>
  </si>
  <si>
    <t>BWC3-2-1</t>
  </si>
  <si>
    <t>605/2014</t>
  </si>
  <si>
    <t>Stationary Shopping (2014)</t>
  </si>
  <si>
    <t>Consumables Shopping (2014)</t>
  </si>
  <si>
    <t>Paper Shredder Shopping</t>
  </si>
  <si>
    <t>Office daily consumables</t>
  </si>
  <si>
    <t>BWC3-2-1-1</t>
  </si>
  <si>
    <t>retroactive</t>
  </si>
  <si>
    <t>BWW2-5</t>
  </si>
  <si>
    <t>VODOKANALPROEKT – 
METALPROEKT INGENEERING AD,
Bulgaria</t>
  </si>
  <si>
    <t>IC</t>
  </si>
  <si>
    <t>BWC3-1-8-3</t>
  </si>
  <si>
    <t>8-3</t>
  </si>
  <si>
    <t>Addendum</t>
  </si>
  <si>
    <t>BWC3-1-10-3</t>
  </si>
  <si>
    <t>BWC3-1-1-3-1</t>
  </si>
  <si>
    <t>BWC3-1-4-3-1</t>
  </si>
  <si>
    <t>BWC3-1-5-3-1</t>
  </si>
  <si>
    <t>3-4</t>
  </si>
  <si>
    <t>BWC1-4-1-4</t>
  </si>
  <si>
    <t>Operational Cost</t>
  </si>
  <si>
    <t>US$</t>
  </si>
  <si>
    <t>Sacotel
(Badaro - Lebanon)</t>
  </si>
  <si>
    <t>128A</t>
  </si>
  <si>
    <t>191A</t>
  </si>
  <si>
    <t>Librairie Halim
(Dora - Lebanon)</t>
  </si>
  <si>
    <t>2-3</t>
  </si>
  <si>
    <t>BWC3-1-2-3</t>
  </si>
  <si>
    <t>BWC3-1-6-3</t>
  </si>
  <si>
    <t>6-3</t>
  </si>
  <si>
    <t>7-3</t>
  </si>
  <si>
    <t>BWC3-1-7-3</t>
  </si>
  <si>
    <t>10-3</t>
  </si>
  <si>
    <t>11-3</t>
  </si>
  <si>
    <t>BWC3-1-11-3</t>
  </si>
  <si>
    <t>12-3</t>
  </si>
  <si>
    <t>BWC3-1-12-3</t>
  </si>
  <si>
    <t>14-3</t>
  </si>
  <si>
    <t>BWC3-1-14-3</t>
  </si>
  <si>
    <t>15-3</t>
  </si>
  <si>
    <t>BWC3-1-15-3</t>
  </si>
  <si>
    <t>Single Source</t>
  </si>
  <si>
    <t>01</t>
  </si>
  <si>
    <t>02</t>
  </si>
  <si>
    <t>03</t>
  </si>
  <si>
    <t>04</t>
  </si>
  <si>
    <t>05</t>
  </si>
  <si>
    <t>06</t>
  </si>
  <si>
    <t>07</t>
  </si>
  <si>
    <t>08</t>
  </si>
  <si>
    <t>7018/2014</t>
  </si>
  <si>
    <t>6 computers/Laptops, printer</t>
  </si>
  <si>
    <t>Insurance for 2 vehicules (2014)</t>
  </si>
  <si>
    <t>Fuel oil for 2 vehicules (2014)</t>
  </si>
  <si>
    <t>Stationary Shopping (2015)</t>
  </si>
  <si>
    <t>Fuel oil for 2 vehicules (2015)</t>
  </si>
  <si>
    <t>Consumables Shopping (2015)</t>
  </si>
  <si>
    <t>World
Bank
part</t>
  </si>
  <si>
    <t>BMLWE
part</t>
  </si>
  <si>
    <t>Estimated Cost and Date of Estimate
BMLWE part</t>
  </si>
  <si>
    <t>Estimated Cost and Date of Estimate
World Bank
part</t>
  </si>
  <si>
    <t>Expenses Incurred to Date
World Bank
part</t>
  </si>
  <si>
    <t>Expenses Incurred to Date
BMLWE
part</t>
  </si>
  <si>
    <t>Contract
Value
converted
to US$</t>
  </si>
  <si>
    <t>Contract
Value
converted
to US$
WB part</t>
  </si>
  <si>
    <t>Contract
Value
converted
to US$
BMLWE part</t>
  </si>
  <si>
    <t>Expenditure incurred to Date
WB part</t>
  </si>
  <si>
    <t>Expenditure incurred to Date
BMLWE part</t>
  </si>
  <si>
    <t>Remaining
WB part</t>
  </si>
  <si>
    <t>Remaining
BMLWE part</t>
  </si>
  <si>
    <t>Expenses Incurred to Date
Converted to US$</t>
  </si>
  <si>
    <t>Expenditure incurred to Date
converted to
US$</t>
  </si>
  <si>
    <t>Remaining</t>
  </si>
  <si>
    <t>Cost converted
to US$</t>
  </si>
  <si>
    <t>Cost
World Bank
part</t>
  </si>
  <si>
    <t>Cost
BMLWE
part</t>
  </si>
  <si>
    <t>World Bank
part</t>
  </si>
  <si>
    <t>GOODS &amp; WORKS</t>
  </si>
  <si>
    <t>TOTAL GOOD &amp; WORKS</t>
  </si>
  <si>
    <t>TOTAL CONSULTING SERVICES</t>
  </si>
  <si>
    <t>BWC3-1</t>
  </si>
  <si>
    <t>BWC1-4</t>
  </si>
  <si>
    <t>PMU BMLWE</t>
  </si>
  <si>
    <t>PMU CDR</t>
  </si>
  <si>
    <t>CAPACITY
BUILDING</t>
  </si>
  <si>
    <t>PMU</t>
  </si>
  <si>
    <t>CONSULTING SERVICES</t>
  </si>
  <si>
    <t>OPERATIONAL COST</t>
  </si>
  <si>
    <t>TOTAL OPERATIONAL COST</t>
  </si>
  <si>
    <t>TOTAL PMU</t>
  </si>
  <si>
    <t>TOTAL CAPACITY BUILDING</t>
  </si>
  <si>
    <t>TOTAL GBWSP</t>
  </si>
  <si>
    <t>Type
of
Activity</t>
  </si>
  <si>
    <t>Description of
Goods/ Works</t>
  </si>
  <si>
    <t>Estimated Cost
and
Date of Estimate
World Bank
part</t>
  </si>
  <si>
    <t>Estimated Cost
and
Date of Estimate
BMLWE part</t>
  </si>
  <si>
    <t>Contract
Value</t>
  </si>
  <si>
    <t>Photocopy machine
Multi feeder</t>
  </si>
  <si>
    <t>PROJECT External
Audit 2014</t>
  </si>
  <si>
    <t>BWC3-2-2</t>
  </si>
  <si>
    <t>09</t>
  </si>
  <si>
    <t>Maintenance for
office equipments</t>
  </si>
  <si>
    <t>Remaining
World Bank
part</t>
  </si>
  <si>
    <t>Remaining
BMLWE
part</t>
  </si>
  <si>
    <t>CAPACITY BUILDING</t>
  </si>
  <si>
    <t>WORKS</t>
  </si>
  <si>
    <t>Total Estimate (USD)</t>
  </si>
  <si>
    <t>Awarded Contracts
(USD)</t>
  </si>
  <si>
    <t>Estimate of
Remaining Contracts
(USD)</t>
  </si>
  <si>
    <t>WB share
of Awarded Contracts
(USD)</t>
  </si>
  <si>
    <t>BMLWE
share of
awarded
contracts
(USD)</t>
  </si>
  <si>
    <t>Expenditure
incurred
BMLWE part
(USD)</t>
  </si>
  <si>
    <t>Expenditure incurred to Date
WB part
(USD)</t>
  </si>
  <si>
    <t>Category</t>
  </si>
  <si>
    <t>1-5</t>
  </si>
  <si>
    <t>BWC3-1-1-5</t>
  </si>
  <si>
    <t>New Contract</t>
  </si>
  <si>
    <t>2-4</t>
  </si>
  <si>
    <t>BWC3-1-2-4</t>
  </si>
  <si>
    <t>1-3-1</t>
  </si>
  <si>
    <t>4-3-1</t>
  </si>
  <si>
    <t>4-5</t>
  </si>
  <si>
    <t>BWC3-1-4-5</t>
  </si>
  <si>
    <t>5-3-1</t>
  </si>
  <si>
    <t>6-4</t>
  </si>
  <si>
    <t>BWC3-1-6-4</t>
  </si>
  <si>
    <t>7-4</t>
  </si>
  <si>
    <t>BWC3-1-7-4</t>
  </si>
  <si>
    <t>8-4</t>
  </si>
  <si>
    <t>BWC3-1-8-4</t>
  </si>
  <si>
    <t>10-4</t>
  </si>
  <si>
    <t>BWC3-1-10-4</t>
  </si>
  <si>
    <t>11-4</t>
  </si>
  <si>
    <t>BWC3-1-11-4</t>
  </si>
  <si>
    <t>12-4</t>
  </si>
  <si>
    <t>BWC3-1-12-4</t>
  </si>
  <si>
    <t>14-4</t>
  </si>
  <si>
    <t>BWC3-1-14-4</t>
  </si>
  <si>
    <t>15-4</t>
  </si>
  <si>
    <t>BWC3-1-15-4</t>
  </si>
  <si>
    <t>17-2</t>
  </si>
  <si>
    <t>BWC1-4-2-2</t>
  </si>
  <si>
    <t>BWC3-1-18-1</t>
  </si>
  <si>
    <t>18-1</t>
  </si>
  <si>
    <t>Financial Officer</t>
  </si>
  <si>
    <t>Mike Chalah</t>
  </si>
  <si>
    <t>16-3</t>
  </si>
  <si>
    <t>BWC3-1-16-3</t>
  </si>
  <si>
    <t>3-5</t>
  </si>
  <si>
    <t>BWC1-4-1-5</t>
  </si>
  <si>
    <t>Pad
Amount</t>
  </si>
  <si>
    <t>Total Pad
Amount</t>
  </si>
  <si>
    <t>Remaining
Amount</t>
  </si>
  <si>
    <t>Total Remaining
Amount</t>
  </si>
  <si>
    <t>Total Paid
Amount</t>
  </si>
  <si>
    <t>Paid
Amount</t>
  </si>
  <si>
    <t>Percentage
Paid</t>
  </si>
  <si>
    <t>Contract/Estimated
Amount</t>
  </si>
  <si>
    <t>Contract/Estimated
Total Amount</t>
  </si>
  <si>
    <t>Component</t>
  </si>
  <si>
    <t>I</t>
  </si>
  <si>
    <t>BWC1-D</t>
  </si>
  <si>
    <t>II</t>
  </si>
  <si>
    <t>III</t>
  </si>
  <si>
    <t>Sub-Total I</t>
  </si>
  <si>
    <t>Sub-Total II</t>
  </si>
  <si>
    <t>Sub-Total III</t>
  </si>
  <si>
    <t>GRAND TOTAL</t>
  </si>
  <si>
    <t>Contract/Estimated
Value
converted
to US$
WB part</t>
  </si>
  <si>
    <t>Utility Strengthening</t>
  </si>
  <si>
    <t>Studies</t>
  </si>
  <si>
    <t>Lebanon IBRD 7010: Greater Beirut Water Supply Project 7967-LE/</t>
  </si>
  <si>
    <t>TOTAL PMU BMLWE</t>
  </si>
  <si>
    <t>TOTAL PMU CDR</t>
  </si>
  <si>
    <t>BWG3-2-4</t>
  </si>
  <si>
    <t>BWG3-2-5</t>
  </si>
  <si>
    <t>BWG3-2-14</t>
  </si>
  <si>
    <t>BWG3-2-6</t>
  </si>
  <si>
    <t>BWG3-2-7</t>
  </si>
  <si>
    <t>BWG3-2-8</t>
  </si>
  <si>
    <t>BWG3-2-9</t>
  </si>
  <si>
    <t>BWG3-2-10</t>
  </si>
  <si>
    <t>BWG3-2-11</t>
  </si>
  <si>
    <t>BWG3-2-12</t>
  </si>
  <si>
    <t>BWG3-2-13</t>
  </si>
  <si>
    <t>GOODS</t>
  </si>
  <si>
    <t>Expenditure incurred to Date
(USD)</t>
  </si>
  <si>
    <t>Amended</t>
  </si>
  <si>
    <t>6822/2014</t>
  </si>
  <si>
    <t>Remaining
physical
Quantities %</t>
  </si>
  <si>
    <t>Percentage
Amount
Remaining</t>
  </si>
  <si>
    <t xml:space="preserve">Physical Completed %
</t>
  </si>
  <si>
    <t>Expenditure incurred to Date
%</t>
  </si>
  <si>
    <t>Remaining
$</t>
  </si>
  <si>
    <t>Remaining
WB part
$</t>
  </si>
  <si>
    <t>Remaining
BMLWE part
$</t>
  </si>
  <si>
    <t xml:space="preserve">Physical Remaining %
</t>
  </si>
  <si>
    <t>Amount
Remaining
%</t>
  </si>
  <si>
    <t>PROJECT External
Audit (3 years)</t>
  </si>
  <si>
    <t>Photocopy, coffee, fax, … - Repair Computer</t>
  </si>
  <si>
    <t>BWG3-2-15</t>
  </si>
  <si>
    <t>10</t>
  </si>
  <si>
    <t>Domain Server Fees</t>
  </si>
  <si>
    <t>Domain IDM for 4 years</t>
  </si>
  <si>
    <t>LINDENBERG - EMIRATES LLC</t>
  </si>
  <si>
    <t>BWW3-2-2</t>
  </si>
  <si>
    <t>Scada System for the Greater Beirut Project</t>
  </si>
  <si>
    <t>3403/2015</t>
  </si>
  <si>
    <t>794A</t>
  </si>
  <si>
    <t>Maliks
(Beirut - Lebanon)</t>
  </si>
  <si>
    <t>BWG3-2-14-1</t>
  </si>
  <si>
    <t>BWC3-2-1-2</t>
  </si>
  <si>
    <t>BWC3-2-1-3</t>
  </si>
  <si>
    <t>Randa Daher Training</t>
  </si>
  <si>
    <t>Training for WB financed projects</t>
  </si>
  <si>
    <t>Malta Training</t>
  </si>
  <si>
    <t>12 days</t>
  </si>
  <si>
    <t>Contract extension
Ended on February 28, 2015</t>
  </si>
  <si>
    <t>BWC3-1-1-6</t>
  </si>
  <si>
    <t>1-6</t>
  </si>
  <si>
    <t>2-5</t>
  </si>
  <si>
    <t>BWC3-1-2-5</t>
  </si>
  <si>
    <t>BWC3-1-6-5</t>
  </si>
  <si>
    <t>BWC3-1-8-5</t>
  </si>
  <si>
    <t>BWC3-1-10-5</t>
  </si>
  <si>
    <t>BWC3-1-11-5</t>
  </si>
  <si>
    <t>BWC3-1-12-5</t>
  </si>
  <si>
    <t>BWC3-1-15-5</t>
  </si>
  <si>
    <t>BWC3-1-14-5</t>
  </si>
  <si>
    <t>BWC3-1-16-4</t>
  </si>
  <si>
    <t>6-5</t>
  </si>
  <si>
    <t>8-5</t>
  </si>
  <si>
    <t>10-5</t>
  </si>
  <si>
    <t>11-5</t>
  </si>
  <si>
    <t>12-5</t>
  </si>
  <si>
    <t>14-5</t>
  </si>
  <si>
    <t>15-5</t>
  </si>
  <si>
    <t>16-4</t>
  </si>
  <si>
    <t>3-6</t>
  </si>
  <si>
    <t>BWC1-4-1-6</t>
  </si>
  <si>
    <t>17-3</t>
  </si>
  <si>
    <t>BWC1-4-2-3</t>
  </si>
  <si>
    <t>11</t>
  </si>
  <si>
    <t>12</t>
  </si>
  <si>
    <t>13</t>
  </si>
  <si>
    <t>14</t>
  </si>
  <si>
    <t>BWG3-2-16</t>
  </si>
  <si>
    <t>BWG3-2-17</t>
  </si>
  <si>
    <t>BWG3-2-18</t>
  </si>
  <si>
    <t>BWG3-2-19</t>
  </si>
  <si>
    <t>Maintenance for
office equipments (2016)</t>
  </si>
  <si>
    <t>Stationary Shopping (2016)</t>
  </si>
  <si>
    <t>Fuel oil for 2 vehicules (2016)</t>
  </si>
  <si>
    <t>BWW3-2-3</t>
  </si>
  <si>
    <t>Supply, installaion and commissioning of water meters and data acquisition in a pilot zone in Beirut project</t>
  </si>
  <si>
    <t>Dar al Handasah shair &amp; partners - D2 Consult International JV</t>
  </si>
  <si>
    <t>Meters
(Canceled)</t>
  </si>
  <si>
    <t>BWC3-1-18-2</t>
  </si>
  <si>
    <t>Addendum 1</t>
  </si>
  <si>
    <t>BWC3-1-1-7</t>
  </si>
  <si>
    <t>1-7</t>
  </si>
  <si>
    <t>BWC3-1-4-6</t>
  </si>
  <si>
    <t>4-6</t>
  </si>
  <si>
    <t>5-5</t>
  </si>
  <si>
    <t>BWC3-1-5-5</t>
  </si>
  <si>
    <t>BWC3-1-1-8</t>
  </si>
  <si>
    <t>1-8</t>
  </si>
  <si>
    <t>6-6</t>
  </si>
  <si>
    <t>BWC3-1-6-6</t>
  </si>
  <si>
    <t>8-6</t>
  </si>
  <si>
    <t>BWC3-1-8-6</t>
  </si>
  <si>
    <t>10-6</t>
  </si>
  <si>
    <t>BWC3-1-10-6</t>
  </si>
  <si>
    <t>11-6</t>
  </si>
  <si>
    <t>BWC3-1-11-6</t>
  </si>
  <si>
    <t>12-6</t>
  </si>
  <si>
    <t>BWC3-1-12-6</t>
  </si>
  <si>
    <t>14-6</t>
  </si>
  <si>
    <t>BWC3-1-14-6</t>
  </si>
  <si>
    <t>15-6</t>
  </si>
  <si>
    <t>BWC3-1-15-6</t>
  </si>
  <si>
    <t>16-5</t>
  </si>
  <si>
    <t>BWC3-1-16-5</t>
  </si>
  <si>
    <t>.</t>
  </si>
  <si>
    <t>3955/A</t>
  </si>
  <si>
    <t>18-2</t>
  </si>
  <si>
    <t>3-7</t>
  </si>
  <si>
    <t>BWC1-4-1-7</t>
  </si>
  <si>
    <t>17-4</t>
  </si>
  <si>
    <t>BWC1-4-2-4</t>
  </si>
  <si>
    <t>Supervision of Meters 
(Canceled activity)
To be done by BMLWE</t>
  </si>
  <si>
    <t>19-1</t>
  </si>
  <si>
    <t>20-1</t>
  </si>
  <si>
    <t>BWC3-1-19-1</t>
  </si>
  <si>
    <t>BWC3-1-20-1</t>
  </si>
  <si>
    <t>Roger Medlej</t>
  </si>
  <si>
    <t>Fadi Haidar</t>
  </si>
  <si>
    <t>1-9</t>
  </si>
  <si>
    <t>BWC3-1-1-9</t>
  </si>
  <si>
    <t>6-7</t>
  </si>
  <si>
    <t>BWC3-1-6-7</t>
  </si>
  <si>
    <t>BWC3-1-8-7</t>
  </si>
  <si>
    <t>8-7</t>
  </si>
  <si>
    <t>BWC3-1-10-7</t>
  </si>
  <si>
    <t>10-7</t>
  </si>
  <si>
    <t>Michel Youssef</t>
  </si>
  <si>
    <t>11-7</t>
  </si>
  <si>
    <t>BWC3-1-11-7</t>
  </si>
  <si>
    <t>BWC3-1-12-7</t>
  </si>
  <si>
    <t>12-7</t>
  </si>
  <si>
    <t>BWC3-1-14-7</t>
  </si>
  <si>
    <t>14-7</t>
  </si>
  <si>
    <t>BWC3-1-15-7</t>
  </si>
  <si>
    <t>15-7</t>
  </si>
  <si>
    <t>BWC3-1-16-6</t>
  </si>
  <si>
    <t>16-6</t>
  </si>
  <si>
    <t>BWC3-1-18-3</t>
  </si>
  <si>
    <t>18-3</t>
  </si>
  <si>
    <t>Remaining
CDR
part</t>
  </si>
  <si>
    <t>Contract
Value
converted
to US$
CDR part</t>
  </si>
  <si>
    <t>100% on fixed part</t>
  </si>
  <si>
    <t>Remaining
CDR part
$</t>
  </si>
  <si>
    <t>Expenditure incurred to Date
CDR part</t>
  </si>
  <si>
    <t>Remaining
CDR part</t>
  </si>
  <si>
    <t>21-1</t>
  </si>
  <si>
    <t>BWC1-4-3-1</t>
  </si>
  <si>
    <t>Finacial Officer</t>
  </si>
  <si>
    <t>Raghida Chour</t>
  </si>
  <si>
    <t>Contract extension
Ended on January 16, 2017</t>
  </si>
  <si>
    <t>Operational Support</t>
  </si>
  <si>
    <t>4997/2017</t>
  </si>
  <si>
    <t>USD
&amp;
Euros</t>
  </si>
  <si>
    <t>3-8</t>
  </si>
  <si>
    <t>BWC1-4-1-8</t>
  </si>
  <si>
    <t>BWC3-1-1-10</t>
  </si>
  <si>
    <t>1-10</t>
  </si>
  <si>
    <t>6-8</t>
  </si>
  <si>
    <t>BWC3-1-6-8</t>
  </si>
  <si>
    <t>8-8</t>
  </si>
  <si>
    <t>BWC3-1-8-8</t>
  </si>
  <si>
    <t>10-8</t>
  </si>
  <si>
    <t>BWC3-1-10-8</t>
  </si>
  <si>
    <t>11-8</t>
  </si>
  <si>
    <t>BWC3-1-11-8</t>
  </si>
  <si>
    <t>12-8</t>
  </si>
  <si>
    <t>BWC3-1-12-8</t>
  </si>
  <si>
    <t>15-8</t>
  </si>
  <si>
    <t>BWC3-1-15-8</t>
  </si>
  <si>
    <t>16-7</t>
  </si>
  <si>
    <t>BWC3-1-16-7</t>
  </si>
  <si>
    <t>989,708.24 €
&amp;
886,500 US$</t>
  </si>
  <si>
    <t>117,511.24 €
&amp;
5,520,633,906.65 L.L.</t>
  </si>
  <si>
    <t>€ &amp; US$</t>
  </si>
  <si>
    <t>BWC3-2-3</t>
  </si>
  <si>
    <t>PROJECT External
Audit (2017-2018-2019)</t>
  </si>
  <si>
    <t>21-2</t>
  </si>
  <si>
    <t>BWC1-4-3-2</t>
  </si>
  <si>
    <t>Coastal Metn DMA and leak detection</t>
  </si>
  <si>
    <t>Coastal Metn Water Meters</t>
  </si>
  <si>
    <t>RfB</t>
  </si>
  <si>
    <t>BWC3-3</t>
  </si>
  <si>
    <t>BWC3-4</t>
  </si>
  <si>
    <t>Supervision of loss reduction management contract (PBC)</t>
  </si>
  <si>
    <t>PMU BMLWE (several contracts)</t>
  </si>
  <si>
    <t>CQBS</t>
  </si>
  <si>
    <t>DMA and leak detection</t>
  </si>
  <si>
    <t>Water Meters</t>
  </si>
  <si>
    <t>SS</t>
  </si>
  <si>
    <t>BMLWE External Audit
(2017-2018-2019)</t>
  </si>
  <si>
    <t>BWC3-2-4</t>
  </si>
  <si>
    <t>BWC3-5</t>
  </si>
  <si>
    <t>BWC3-2-5</t>
  </si>
  <si>
    <t>BMLWE External Audit
(2016)</t>
  </si>
  <si>
    <t>Accounting consultant</t>
  </si>
  <si>
    <t>BWW3-4</t>
  </si>
  <si>
    <t>BWW3-6</t>
  </si>
  <si>
    <t>BWW3-8</t>
  </si>
  <si>
    <t>BWW3-5</t>
  </si>
  <si>
    <t>BWW3-7</t>
  </si>
  <si>
    <t>Bank’s No Objection to Bid Evaluation Report and Contract Award (Date)**</t>
  </si>
  <si>
    <t>Cooperativa
Edile
Appennino scarl
ITALY</t>
  </si>
  <si>
    <t>JCC/WARD
LEBANON</t>
  </si>
  <si>
    <t>COOPERATIVA MURATORI CEMENTISTI DI RAVENNA
ITALY</t>
  </si>
  <si>
    <t>OTV
FRANCE</t>
  </si>
  <si>
    <t>EMCO Engineering LTD
LEBANON</t>
  </si>
  <si>
    <t>Nazih Braidi Est. for Engineering and Contracting
LEBANON</t>
  </si>
  <si>
    <t>HCC Hannoun
 Computer Co
Lebanon</t>
  </si>
  <si>
    <t>Cabinet d'Etude 
Marc Merlin
France</t>
  </si>
  <si>
    <t>DAR AL HANDASAH
NAZIH TALEB &amp;
PARTNERS SAFEGE JV
(Lebanon-France)</t>
  </si>
  <si>
    <t>Talal Abu Ghazaleh &amp; Co.
Lebanon</t>
  </si>
  <si>
    <t xml:space="preserve">Consumables Shopping </t>
  </si>
  <si>
    <t>Office daily consumables, operational cost, advertising, etc…</t>
  </si>
  <si>
    <t>Water Loss reduction and management in Achrafieh</t>
  </si>
  <si>
    <t>3-9</t>
  </si>
  <si>
    <t>1-11</t>
  </si>
  <si>
    <t>BWC3-1-1-11</t>
  </si>
  <si>
    <t>6-9</t>
  </si>
  <si>
    <t>BWC3-1-6-9</t>
  </si>
  <si>
    <t>11-9</t>
  </si>
  <si>
    <t>BWC3-1-11-9</t>
  </si>
  <si>
    <t>14-8</t>
  </si>
  <si>
    <t>BWC3-1-14-8</t>
  </si>
  <si>
    <t>14-9</t>
  </si>
  <si>
    <t>BWC3-1-14-9</t>
  </si>
  <si>
    <t>18-4</t>
  </si>
  <si>
    <t>18-5</t>
  </si>
  <si>
    <t>BWC3-1-18-4</t>
  </si>
  <si>
    <t>BWC3-1-18-5</t>
  </si>
  <si>
    <t>19-2</t>
  </si>
  <si>
    <t>19-3</t>
  </si>
  <si>
    <t>BWC3-1-19-2</t>
  </si>
  <si>
    <t>BWC3-1-19-3</t>
  </si>
  <si>
    <t>20-2</t>
  </si>
  <si>
    <t>20-3</t>
  </si>
  <si>
    <t>BWC3-1-20-2</t>
  </si>
  <si>
    <t>BWC3-1-20-3</t>
  </si>
  <si>
    <t>BWC1-4-3-3</t>
  </si>
  <si>
    <t>21-3</t>
  </si>
  <si>
    <r>
      <t xml:space="preserve">Short list comprising entirely of national consultants: </t>
    </r>
    <r>
      <rPr>
        <sz val="10"/>
        <rFont val="Arial"/>
        <family val="2"/>
      </rPr>
      <t>Short list of consultants for services, estimated to cost less than $__equivalent per contract, may comprise entirely of national consultants in accordance with the provisions of paragraph 2.7 of the Consultant Guidelines.</t>
    </r>
  </si>
  <si>
    <r>
      <t>Any Other Special Selection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Retroactive financing between Oct 1, 2010 and Loan Signing Date (≤12 months). Expenditures will not exceed a total of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</si>
</sst>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_(&quot;L.L.&quot;* #,##0.00_);_(&quot;L.L.&quot;* \(#,##0.00\);_(&quot;L.L.&quot;* &quot;-&quot;??_);_(@_)"/>
    <numFmt numFmtId="166" formatCode="#,##0\ [$€-1];[Red]\-#,##0\ [$€-1]"/>
    <numFmt numFmtId="167" formatCode="#,##0.00\ [$€-1];[Red]\-#,##0.00\ [$€-1]"/>
    <numFmt numFmtId="168" formatCode="[$$-409]#,##0.00"/>
    <numFmt numFmtId="169" formatCode="[$LBP]\ #,##0.00_-"/>
    <numFmt numFmtId="170" formatCode="[$-409]d\-mmm\-yy;@"/>
    <numFmt numFmtId="171" formatCode="_(&quot;US$&quot;* #,##0.00_);_(&quot;US$&quot;* \(#,##0.00\);_(&quot;US$&quot;* &quot;-&quot;??_);_(@_)"/>
    <numFmt numFmtId="172" formatCode="#,##0.0000"/>
    <numFmt numFmtId="173" formatCode="#,##0.00000000000"/>
    <numFmt numFmtId="174" formatCode="#,##0.000000000"/>
  </numFmts>
  <fonts count="28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4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7" fillId="0" borderId="0" xfId="4" applyAlignment="1" applyProtection="1">
      <alignment horizontal="left"/>
    </xf>
    <xf numFmtId="0" fontId="7" fillId="0" borderId="0" xfId="4" applyAlignment="1" applyProtection="1"/>
    <xf numFmtId="14" fontId="0" fillId="0" borderId="0" xfId="0" applyNumberFormat="1"/>
    <xf numFmtId="14" fontId="0" fillId="2" borderId="0" xfId="0" applyNumberFormat="1" applyFill="1"/>
    <xf numFmtId="44" fontId="0" fillId="0" borderId="2" xfId="2" applyFont="1" applyBorder="1"/>
    <xf numFmtId="0" fontId="4" fillId="0" borderId="2" xfId="0" applyFont="1" applyBorder="1"/>
    <xf numFmtId="4" fontId="0" fillId="0" borderId="2" xfId="0" applyNumberFormat="1" applyBorder="1"/>
    <xf numFmtId="0" fontId="4" fillId="0" borderId="2" xfId="0" applyFont="1" applyBorder="1" applyAlignment="1">
      <alignment horizontal="right"/>
    </xf>
    <xf numFmtId="44" fontId="0" fillId="0" borderId="1" xfId="2" applyFont="1" applyFill="1" applyBorder="1"/>
    <xf numFmtId="44" fontId="0" fillId="0" borderId="9" xfId="2" applyFont="1" applyFill="1" applyBorder="1"/>
    <xf numFmtId="44" fontId="0" fillId="0" borderId="8" xfId="2" applyFont="1" applyFill="1" applyBorder="1"/>
    <xf numFmtId="44" fontId="8" fillId="0" borderId="8" xfId="2" applyFont="1" applyFill="1" applyBorder="1" applyAlignment="1">
      <alignment horizontal="center" vertical="center"/>
    </xf>
    <xf numFmtId="44" fontId="8" fillId="0" borderId="1" xfId="2" applyFont="1" applyFill="1" applyBorder="1" applyAlignment="1">
      <alignment horizontal="center" vertical="center"/>
    </xf>
    <xf numFmtId="44" fontId="8" fillId="0" borderId="9" xfId="2" applyFont="1" applyFill="1" applyBorder="1" applyAlignment="1">
      <alignment horizontal="center" vertical="center"/>
    </xf>
    <xf numFmtId="44" fontId="4" fillId="0" borderId="8" xfId="2" applyFont="1" applyFill="1" applyBorder="1"/>
    <xf numFmtId="170" fontId="0" fillId="0" borderId="8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70" fontId="6" fillId="0" borderId="0" xfId="0" applyNumberFormat="1" applyFont="1" applyFill="1" applyBorder="1"/>
    <xf numFmtId="44" fontId="4" fillId="0" borderId="14" xfId="3" applyFont="1" applyFill="1" applyBorder="1" applyAlignment="1">
      <alignment horizontal="center" vertical="center"/>
    </xf>
    <xf numFmtId="44" fontId="0" fillId="0" borderId="2" xfId="3" applyFont="1" applyFill="1" applyBorder="1" applyAlignment="1">
      <alignment horizontal="center" vertical="center"/>
    </xf>
    <xf numFmtId="44" fontId="0" fillId="0" borderId="12" xfId="3" applyFont="1" applyFill="1" applyBorder="1" applyAlignment="1">
      <alignment horizontal="center" vertical="center"/>
    </xf>
    <xf numFmtId="44" fontId="0" fillId="0" borderId="14" xfId="3" applyFont="1" applyFill="1" applyBorder="1" applyAlignment="1">
      <alignment horizontal="center" vertical="center"/>
    </xf>
    <xf numFmtId="0" fontId="0" fillId="2" borderId="2" xfId="0" applyFill="1" applyBorder="1"/>
    <xf numFmtId="44" fontId="16" fillId="2" borderId="2" xfId="2" applyFont="1" applyFill="1" applyBorder="1"/>
    <xf numFmtId="44" fontId="11" fillId="0" borderId="8" xfId="2" applyFont="1" applyFill="1" applyBorder="1"/>
    <xf numFmtId="0" fontId="15" fillId="0" borderId="0" xfId="0" applyFont="1" applyFill="1"/>
    <xf numFmtId="10" fontId="17" fillId="0" borderId="0" xfId="0" applyNumberFormat="1" applyFont="1" applyFill="1" applyAlignment="1">
      <alignment horizontal="centerContinuous"/>
    </xf>
    <xf numFmtId="44" fontId="17" fillId="0" borderId="0" xfId="2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Continuous"/>
    </xf>
    <xf numFmtId="49" fontId="17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44" fontId="14" fillId="0" borderId="0" xfId="2" applyFont="1" applyFill="1" applyAlignment="1">
      <alignment horizontal="centerContinuous" wrapText="1"/>
    </xf>
    <xf numFmtId="0" fontId="14" fillId="0" borderId="0" xfId="0" applyNumberFormat="1" applyFont="1" applyFill="1" applyAlignment="1">
      <alignment horizontal="centerContinuous" wrapText="1"/>
    </xf>
    <xf numFmtId="49" fontId="14" fillId="0" borderId="0" xfId="0" applyNumberFormat="1" applyFont="1" applyFill="1" applyAlignment="1">
      <alignment horizontal="centerContinuous" wrapText="1"/>
    </xf>
    <xf numFmtId="15" fontId="14" fillId="0" borderId="0" xfId="0" applyNumberFormat="1" applyFont="1" applyFill="1" applyAlignment="1">
      <alignment horizontal="centerContinuous" wrapTex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/>
    <xf numFmtId="44" fontId="15" fillId="0" borderId="0" xfId="2" applyFont="1" applyFill="1"/>
    <xf numFmtId="0" fontId="15" fillId="0" borderId="0" xfId="0" applyNumberFormat="1" applyFont="1" applyFill="1"/>
    <xf numFmtId="49" fontId="15" fillId="0" borderId="0" xfId="0" applyNumberFormat="1" applyFont="1" applyFill="1"/>
    <xf numFmtId="15" fontId="15" fillId="0" borderId="0" xfId="0" applyNumberFormat="1" applyFont="1" applyFill="1"/>
    <xf numFmtId="0" fontId="14" fillId="0" borderId="0" xfId="0" applyFont="1" applyFill="1" applyAlignment="1">
      <alignment horizontal="right"/>
    </xf>
    <xf numFmtId="0" fontId="18" fillId="0" borderId="22" xfId="0" applyFont="1" applyFill="1" applyBorder="1"/>
    <xf numFmtId="0" fontId="18" fillId="0" borderId="7" xfId="0" applyFont="1" applyFill="1" applyBorder="1"/>
    <xf numFmtId="0" fontId="18" fillId="0" borderId="23" xfId="0" applyFont="1" applyFill="1" applyBorder="1"/>
    <xf numFmtId="0" fontId="18" fillId="0" borderId="24" xfId="0" applyFont="1" applyFill="1" applyBorder="1"/>
    <xf numFmtId="0" fontId="18" fillId="0" borderId="25" xfId="0" applyFont="1" applyFill="1" applyBorder="1"/>
    <xf numFmtId="44" fontId="14" fillId="0" borderId="2" xfId="2" applyFont="1" applyFill="1" applyBorder="1" applyAlignment="1">
      <alignment horizontal="center" vertical="center"/>
    </xf>
    <xf numFmtId="44" fontId="14" fillId="0" borderId="26" xfId="2" applyFont="1" applyFill="1" applyBorder="1" applyAlignment="1">
      <alignment horizontal="center" vertical="center"/>
    </xf>
    <xf numFmtId="0" fontId="18" fillId="0" borderId="27" xfId="0" applyFont="1" applyFill="1" applyBorder="1"/>
    <xf numFmtId="0" fontId="18" fillId="0" borderId="28" xfId="0" applyFont="1" applyFill="1" applyBorder="1"/>
    <xf numFmtId="0" fontId="18" fillId="0" borderId="29" xfId="0" applyFont="1" applyFill="1" applyBorder="1"/>
    <xf numFmtId="0" fontId="15" fillId="0" borderId="2" xfId="0" applyFont="1" applyFill="1" applyBorder="1"/>
    <xf numFmtId="10" fontId="15" fillId="0" borderId="2" xfId="2" applyNumberFormat="1" applyFont="1" applyFill="1" applyBorder="1"/>
    <xf numFmtId="44" fontId="15" fillId="0" borderId="2" xfId="2" applyFont="1" applyFill="1" applyBorder="1" applyAlignment="1">
      <alignment horizontal="right" vertical="center"/>
    </xf>
    <xf numFmtId="44" fontId="15" fillId="0" borderId="26" xfId="2" applyFont="1" applyFill="1" applyBorder="1" applyAlignment="1">
      <alignment horizontal="right" vertical="center"/>
    </xf>
    <xf numFmtId="44" fontId="14" fillId="0" borderId="12" xfId="0" applyNumberFormat="1" applyFont="1" applyFill="1" applyBorder="1" applyAlignment="1">
      <alignment horizontal="right"/>
    </xf>
    <xf numFmtId="44" fontId="14" fillId="0" borderId="30" xfId="0" applyNumberFormat="1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10" fontId="14" fillId="0" borderId="32" xfId="2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44" fontId="14" fillId="0" borderId="32" xfId="2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wrapText="1"/>
    </xf>
    <xf numFmtId="44" fontId="19" fillId="0" borderId="22" xfId="2" applyFont="1" applyFill="1" applyBorder="1" applyAlignment="1">
      <alignment horizontal="right" vertical="center"/>
    </xf>
    <xf numFmtId="44" fontId="19" fillId="0" borderId="24" xfId="2" applyFont="1" applyFill="1" applyBorder="1" applyAlignment="1">
      <alignment horizontal="right" vertical="center"/>
    </xf>
    <xf numFmtId="44" fontId="19" fillId="0" borderId="25" xfId="2" applyFont="1" applyFill="1" applyBorder="1" applyAlignment="1">
      <alignment horizontal="right" vertical="center"/>
    </xf>
    <xf numFmtId="44" fontId="19" fillId="0" borderId="22" xfId="2" applyFont="1" applyFill="1" applyBorder="1"/>
    <xf numFmtId="44" fontId="19" fillId="0" borderId="22" xfId="2" applyFont="1" applyFill="1" applyBorder="1" applyAlignment="1">
      <alignment horizontal="center" vertical="center"/>
    </xf>
    <xf numFmtId="44" fontId="19" fillId="0" borderId="24" xfId="2" applyFont="1" applyFill="1" applyBorder="1"/>
    <xf numFmtId="44" fontId="19" fillId="0" borderId="24" xfId="2" applyFont="1" applyFill="1" applyBorder="1" applyAlignment="1">
      <alignment horizontal="center" vertical="center"/>
    </xf>
    <xf numFmtId="44" fontId="19" fillId="0" borderId="25" xfId="2" applyFont="1" applyFill="1" applyBorder="1"/>
    <xf numFmtId="44" fontId="19" fillId="0" borderId="25" xfId="2" applyFont="1" applyFill="1" applyBorder="1" applyAlignment="1">
      <alignment horizontal="center" vertical="center"/>
    </xf>
    <xf numFmtId="44" fontId="19" fillId="0" borderId="27" xfId="2" applyFont="1" applyFill="1" applyBorder="1"/>
    <xf numFmtId="44" fontId="19" fillId="0" borderId="28" xfId="2" applyFont="1" applyFill="1" applyBorder="1"/>
    <xf numFmtId="44" fontId="19" fillId="0" borderId="2" xfId="2" applyFont="1" applyFill="1" applyBorder="1"/>
    <xf numFmtId="0" fontId="14" fillId="0" borderId="15" xfId="0" applyFont="1" applyFill="1" applyBorder="1" applyAlignment="1"/>
    <xf numFmtId="0" fontId="14" fillId="0" borderId="34" xfId="0" applyFont="1" applyFill="1" applyBorder="1" applyAlignment="1"/>
    <xf numFmtId="44" fontId="14" fillId="0" borderId="23" xfId="2" applyFont="1" applyFill="1" applyBorder="1" applyAlignment="1">
      <alignment horizontal="center" vertical="center"/>
    </xf>
    <xf numFmtId="44" fontId="14" fillId="0" borderId="35" xfId="2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/>
    <xf numFmtId="3" fontId="14" fillId="0" borderId="32" xfId="2" applyNumberFormat="1" applyFont="1" applyFill="1" applyBorder="1" applyAlignment="1">
      <alignment horizontal="center" vertical="center" wrapText="1"/>
    </xf>
    <xf numFmtId="44" fontId="15" fillId="0" borderId="2" xfId="2" applyNumberFormat="1" applyFont="1" applyFill="1" applyBorder="1" applyAlignment="1">
      <alignment vertical="center"/>
    </xf>
    <xf numFmtId="10" fontId="15" fillId="0" borderId="2" xfId="2" applyNumberFormat="1" applyFont="1" applyFill="1" applyBorder="1" applyAlignment="1">
      <alignment vertical="center"/>
    </xf>
    <xf numFmtId="10" fontId="17" fillId="0" borderId="0" xfId="0" applyNumberFormat="1" applyFont="1" applyFill="1" applyAlignment="1">
      <alignment horizontal="centerContinuous" vertical="center"/>
    </xf>
    <xf numFmtId="3" fontId="17" fillId="0" borderId="0" xfId="0" applyNumberFormat="1" applyFont="1" applyFill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 wrapText="1"/>
    </xf>
    <xf numFmtId="3" fontId="14" fillId="0" borderId="0" xfId="0" applyNumberFormat="1" applyFont="1" applyFill="1" applyAlignment="1">
      <alignment horizontal="centerContinuous" vertical="center" wrapText="1"/>
    </xf>
    <xf numFmtId="10" fontId="14" fillId="0" borderId="0" xfId="0" applyNumberFormat="1" applyFont="1" applyFill="1" applyAlignment="1">
      <alignment horizontal="centerContinuous" vertical="center" wrapText="1"/>
    </xf>
    <xf numFmtId="15" fontId="14" fillId="0" borderId="0" xfId="0" applyNumberFormat="1" applyFont="1" applyFill="1" applyAlignment="1">
      <alignment horizontal="centerContinuous" vertical="center" wrapText="1"/>
    </xf>
    <xf numFmtId="3" fontId="15" fillId="0" borderId="0" xfId="0" applyNumberFormat="1" applyFont="1" applyFill="1" applyAlignment="1">
      <alignment vertical="center"/>
    </xf>
    <xf numFmtId="10" fontId="15" fillId="0" borderId="0" xfId="0" applyNumberFormat="1" applyFont="1" applyFill="1" applyAlignment="1">
      <alignment vertical="center"/>
    </xf>
    <xf numFmtId="15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4" fontId="21" fillId="0" borderId="2" xfId="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4" fontId="14" fillId="0" borderId="2" xfId="2" applyNumberFormat="1" applyFont="1" applyFill="1" applyBorder="1" applyAlignment="1">
      <alignment vertical="center"/>
    </xf>
    <xf numFmtId="10" fontId="14" fillId="0" borderId="2" xfId="2" applyNumberFormat="1" applyFont="1" applyFill="1" applyBorder="1" applyAlignment="1">
      <alignment vertical="center"/>
    </xf>
    <xf numFmtId="10" fontId="14" fillId="0" borderId="2" xfId="2" applyNumberFormat="1" applyFont="1" applyFill="1" applyBorder="1" applyAlignment="1">
      <alignment horizontal="center" vertical="center"/>
    </xf>
    <xf numFmtId="44" fontId="14" fillId="0" borderId="26" xfId="2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4" fontId="14" fillId="0" borderId="12" xfId="2" applyNumberFormat="1" applyFont="1" applyFill="1" applyBorder="1" applyAlignment="1">
      <alignment vertical="center"/>
    </xf>
    <xf numFmtId="10" fontId="14" fillId="0" borderId="12" xfId="2" applyNumberFormat="1" applyFont="1" applyFill="1" applyBorder="1" applyAlignment="1">
      <alignment vertical="center"/>
    </xf>
    <xf numFmtId="10" fontId="14" fillId="0" borderId="12" xfId="2" applyNumberFormat="1" applyFont="1" applyFill="1" applyBorder="1" applyAlignment="1">
      <alignment horizontal="center" vertical="center"/>
    </xf>
    <xf numFmtId="44" fontId="14" fillId="0" borderId="30" xfId="2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 vertical="center"/>
    </xf>
    <xf numFmtId="44" fontId="0" fillId="0" borderId="37" xfId="2" applyFont="1" applyFill="1" applyBorder="1"/>
    <xf numFmtId="0" fontId="0" fillId="0" borderId="0" xfId="0" applyFill="1" applyAlignment="1">
      <alignment horizontal="centerContinuous"/>
    </xf>
    <xf numFmtId="10" fontId="5" fillId="0" borderId="0" xfId="0" applyNumberFormat="1" applyFont="1" applyFill="1" applyAlignment="1">
      <alignment horizontal="centerContinuous" vertical="center"/>
    </xf>
    <xf numFmtId="10" fontId="5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 vertical="top" wrapText="1"/>
    </xf>
    <xf numFmtId="44" fontId="5" fillId="0" borderId="0" xfId="2" applyFont="1" applyFill="1" applyAlignment="1">
      <alignment horizontal="centerContinuous"/>
    </xf>
    <xf numFmtId="10" fontId="5" fillId="0" borderId="0" xfId="2" applyNumberFormat="1" applyFont="1" applyFill="1" applyAlignment="1">
      <alignment horizontal="centerContinuous"/>
    </xf>
    <xf numFmtId="170" fontId="5" fillId="0" borderId="0" xfId="0" applyNumberFormat="1" applyFont="1" applyFill="1" applyAlignment="1">
      <alignment horizontal="centerContinuous"/>
    </xf>
    <xf numFmtId="4" fontId="5" fillId="0" borderId="0" xfId="0" applyNumberFormat="1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Continuous" wrapText="1"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vertical="top" wrapText="1"/>
    </xf>
    <xf numFmtId="44" fontId="3" fillId="0" borderId="0" xfId="2" applyFont="1" applyFill="1" applyAlignment="1">
      <alignment horizontal="centerContinuous" wrapText="1"/>
    </xf>
    <xf numFmtId="10" fontId="3" fillId="0" borderId="0" xfId="2" applyNumberFormat="1" applyFont="1" applyFill="1" applyAlignment="1">
      <alignment horizontal="centerContinuous" wrapText="1"/>
    </xf>
    <xf numFmtId="170" fontId="3" fillId="0" borderId="0" xfId="0" applyNumberFormat="1" applyFont="1" applyFill="1" applyAlignment="1">
      <alignment horizontal="centerContinuous" wrapText="1"/>
    </xf>
    <xf numFmtId="4" fontId="3" fillId="0" borderId="0" xfId="0" applyNumberFormat="1" applyFont="1" applyFill="1" applyAlignment="1">
      <alignment horizontal="centerContinuous" wrapText="1"/>
    </xf>
    <xf numFmtId="15" fontId="3" fillId="0" borderId="0" xfId="0" applyNumberFormat="1" applyFont="1" applyFill="1" applyAlignment="1">
      <alignment horizontal="centerContinuous" wrapText="1"/>
    </xf>
    <xf numFmtId="10" fontId="3" fillId="0" borderId="0" xfId="0" applyNumberFormat="1" applyFont="1" applyFill="1" applyAlignment="1">
      <alignment horizontal="centerContinuous" wrapText="1"/>
    </xf>
    <xf numFmtId="0" fontId="6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top" wrapText="1"/>
    </xf>
    <xf numFmtId="44" fontId="0" fillId="0" borderId="0" xfId="2" applyFont="1" applyFill="1"/>
    <xf numFmtId="10" fontId="0" fillId="0" borderId="0" xfId="2" applyNumberFormat="1" applyFont="1" applyFill="1"/>
    <xf numFmtId="0" fontId="3" fillId="0" borderId="3" xfId="0" applyFont="1" applyFill="1" applyBorder="1" applyAlignment="1">
      <alignment horizontal="centerContinuous"/>
    </xf>
    <xf numFmtId="170" fontId="0" fillId="0" borderId="10" xfId="0" applyNumberFormat="1" applyFill="1" applyBorder="1" applyAlignment="1">
      <alignment horizontal="centerContinuous"/>
    </xf>
    <xf numFmtId="170" fontId="0" fillId="0" borderId="11" xfId="0" applyNumberFormat="1" applyFill="1" applyBorder="1" applyAlignment="1">
      <alignment horizontal="centerContinuous"/>
    </xf>
    <xf numFmtId="170" fontId="0" fillId="0" borderId="0" xfId="0" applyNumberFormat="1" applyFill="1"/>
    <xf numFmtId="4" fontId="0" fillId="0" borderId="0" xfId="0" applyNumberFormat="1" applyFill="1"/>
    <xf numFmtId="15" fontId="0" fillId="0" borderId="0" xfId="0" applyNumberFormat="1" applyFill="1"/>
    <xf numFmtId="10" fontId="0" fillId="0" borderId="0" xfId="0" applyNumberFormat="1" applyFill="1"/>
    <xf numFmtId="0" fontId="0" fillId="0" borderId="7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 wrapText="1"/>
    </xf>
    <xf numFmtId="10" fontId="3" fillId="0" borderId="7" xfId="2" applyNumberFormat="1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10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44" fontId="3" fillId="0" borderId="0" xfId="2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 vertical="center"/>
    </xf>
    <xf numFmtId="170" fontId="0" fillId="0" borderId="0" xfId="0" applyNumberFormat="1" applyFill="1" applyAlignment="1">
      <alignment horizontal="center"/>
    </xf>
    <xf numFmtId="1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38" xfId="0" applyFont="1" applyFill="1" applyBorder="1"/>
    <xf numFmtId="0" fontId="6" fillId="0" borderId="39" xfId="0" applyFont="1" applyFill="1" applyBorder="1"/>
    <xf numFmtId="0" fontId="6" fillId="0" borderId="40" xfId="0" applyFont="1" applyFill="1" applyBorder="1"/>
    <xf numFmtId="170" fontId="0" fillId="0" borderId="9" xfId="0" applyNumberFormat="1" applyFill="1" applyBorder="1" applyAlignment="1">
      <alignment horizontal="center"/>
    </xf>
    <xf numFmtId="0" fontId="6" fillId="0" borderId="41" xfId="0" applyFont="1" applyFill="1" applyBorder="1"/>
    <xf numFmtId="44" fontId="0" fillId="0" borderId="42" xfId="2" applyFont="1" applyFill="1" applyBorder="1"/>
    <xf numFmtId="170" fontId="0" fillId="0" borderId="42" xfId="0" applyNumberFormat="1" applyFill="1" applyBorder="1" applyAlignment="1">
      <alignment horizontal="center" vertical="center"/>
    </xf>
    <xf numFmtId="170" fontId="0" fillId="0" borderId="42" xfId="0" applyNumberFormat="1" applyFill="1" applyBorder="1" applyAlignment="1">
      <alignment horizontal="center"/>
    </xf>
    <xf numFmtId="0" fontId="6" fillId="0" borderId="43" xfId="0" applyFont="1" applyFill="1" applyBorder="1"/>
    <xf numFmtId="170" fontId="0" fillId="0" borderId="37" xfId="0" applyNumberFormat="1" applyFill="1" applyBorder="1" applyAlignment="1">
      <alignment horizontal="center"/>
    </xf>
    <xf numFmtId="167" fontId="1" fillId="0" borderId="8" xfId="0" applyNumberFormat="1" applyFont="1" applyFill="1" applyBorder="1" applyAlignment="1">
      <alignment wrapText="1"/>
    </xf>
    <xf numFmtId="15" fontId="1" fillId="0" borderId="1" xfId="0" applyNumberFormat="1" applyFont="1" applyFill="1" applyBorder="1" applyAlignment="1">
      <alignment wrapText="1"/>
    </xf>
    <xf numFmtId="15" fontId="4" fillId="0" borderId="4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5" fontId="0" fillId="0" borderId="44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5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4" fontId="0" fillId="0" borderId="0" xfId="0" applyNumberFormat="1" applyFill="1"/>
    <xf numFmtId="170" fontId="1" fillId="0" borderId="1" xfId="0" applyNumberFormat="1" applyFont="1" applyFill="1" applyBorder="1" applyAlignment="1">
      <alignment horizontal="center" vertical="center"/>
    </xf>
    <xf numFmtId="44" fontId="0" fillId="0" borderId="0" xfId="3" applyFont="1" applyFill="1"/>
    <xf numFmtId="44" fontId="3" fillId="0" borderId="7" xfId="3" applyFont="1" applyFill="1" applyBorder="1" applyAlignment="1">
      <alignment horizontal="center" vertical="center" wrapText="1"/>
    </xf>
    <xf numFmtId="15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5" fontId="0" fillId="0" borderId="2" xfId="0" applyNumberFormat="1" applyFill="1" applyBorder="1" applyAlignment="1">
      <alignment horizontal="center" vertical="center"/>
    </xf>
    <xf numFmtId="15" fontId="4" fillId="0" borderId="2" xfId="0" applyNumberFormat="1" applyFon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5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4" fontId="0" fillId="0" borderId="7" xfId="3" applyFont="1" applyFill="1" applyBorder="1" applyAlignment="1">
      <alignment horizontal="center" vertical="center"/>
    </xf>
    <xf numFmtId="44" fontId="15" fillId="0" borderId="0" xfId="0" applyNumberFormat="1" applyFont="1" applyFill="1"/>
    <xf numFmtId="170" fontId="1" fillId="0" borderId="9" xfId="0" applyNumberFormat="1" applyFont="1" applyFill="1" applyBorder="1" applyAlignment="1">
      <alignment horizontal="center" vertical="center"/>
    </xf>
    <xf numFmtId="44" fontId="8" fillId="0" borderId="37" xfId="2" applyFont="1" applyFill="1" applyBorder="1" applyAlignment="1">
      <alignment horizontal="center" vertical="center"/>
    </xf>
    <xf numFmtId="44" fontId="8" fillId="0" borderId="45" xfId="2" applyFont="1" applyFill="1" applyBorder="1" applyAlignment="1">
      <alignment horizontal="center" vertical="center"/>
    </xf>
    <xf numFmtId="0" fontId="6" fillId="0" borderId="69" xfId="0" applyFont="1" applyFill="1" applyBorder="1"/>
    <xf numFmtId="4" fontId="0" fillId="0" borderId="9" xfId="0" applyNumberFormat="1" applyFill="1" applyBorder="1" applyAlignment="1">
      <alignment vertical="center"/>
    </xf>
    <xf numFmtId="170" fontId="1" fillId="0" borderId="37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/>
    </xf>
    <xf numFmtId="10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15" fontId="0" fillId="0" borderId="14" xfId="0" applyNumberFormat="1" applyFill="1" applyBorder="1" applyAlignment="1">
      <alignment horizontal="center" vertical="center"/>
    </xf>
    <xf numFmtId="168" fontId="0" fillId="0" borderId="14" xfId="0" applyNumberFormat="1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10" fontId="0" fillId="0" borderId="7" xfId="0" applyNumberForma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168" fontId="0" fillId="0" borderId="7" xfId="0" applyNumberFormat="1" applyFill="1" applyBorder="1" applyAlignment="1">
      <alignment horizontal="center" vertical="center"/>
    </xf>
    <xf numFmtId="168" fontId="0" fillId="0" borderId="38" xfId="0" applyNumberForma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9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5" fontId="0" fillId="0" borderId="29" xfId="0" applyNumberFormat="1" applyFill="1" applyBorder="1" applyAlignment="1">
      <alignment horizontal="center" vertical="center"/>
    </xf>
    <xf numFmtId="168" fontId="0" fillId="0" borderId="29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5" fontId="0" fillId="0" borderId="12" xfId="0" applyNumberForma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0" fontId="3" fillId="0" borderId="18" xfId="0" applyNumberFormat="1" applyFont="1" applyFill="1" applyBorder="1" applyAlignment="1">
      <alignment horizontal="center"/>
    </xf>
    <xf numFmtId="168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8" xfId="0" applyFont="1" applyFill="1" applyBorder="1"/>
    <xf numFmtId="49" fontId="5" fillId="0" borderId="0" xfId="0" applyNumberFormat="1" applyFont="1" applyFill="1" applyAlignment="1">
      <alignment horizontal="centerContinuous"/>
    </xf>
    <xf numFmtId="4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Continuous"/>
    </xf>
    <xf numFmtId="4" fontId="3" fillId="0" borderId="0" xfId="0" applyNumberFormat="1" applyFont="1" applyFill="1" applyAlignment="1">
      <alignment horizontal="center"/>
    </xf>
    <xf numFmtId="49" fontId="0" fillId="0" borderId="0" xfId="0" applyNumberFormat="1" applyFill="1"/>
    <xf numFmtId="4" fontId="0" fillId="0" borderId="0" xfId="0" applyNumberFormat="1" applyFill="1" applyAlignment="1">
      <alignment horizontal="center"/>
    </xf>
    <xf numFmtId="15" fontId="12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" fontId="3" fillId="0" borderId="7" xfId="2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69" fontId="0" fillId="0" borderId="14" xfId="0" applyNumberFormat="1" applyFill="1" applyBorder="1" applyAlignment="1">
      <alignment horizontal="center" vertical="center"/>
    </xf>
    <xf numFmtId="15" fontId="4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169" fontId="0" fillId="0" borderId="2" xfId="0" applyNumberForma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5" fontId="0" fillId="0" borderId="7" xfId="0" applyNumberFormat="1" applyFill="1" applyBorder="1" applyAlignment="1">
      <alignment horizontal="center" vertical="center"/>
    </xf>
    <xf numFmtId="15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6" fillId="0" borderId="16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44" fontId="0" fillId="0" borderId="18" xfId="3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5" fontId="0" fillId="0" borderId="18" xfId="0" applyNumberForma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horizontal="center" vertical="center"/>
    </xf>
    <xf numFmtId="15" fontId="4" fillId="0" borderId="18" xfId="0" applyNumberFormat="1" applyFont="1" applyFill="1" applyBorder="1" applyAlignment="1">
      <alignment horizontal="center" vertical="center"/>
    </xf>
    <xf numFmtId="168" fontId="0" fillId="0" borderId="18" xfId="0" applyNumberForma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168" fontId="0" fillId="0" borderId="21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4" fontId="0" fillId="0" borderId="29" xfId="3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168" fontId="0" fillId="0" borderId="39" xfId="0" applyNumberForma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center"/>
    </xf>
    <xf numFmtId="44" fontId="24" fillId="0" borderId="70" xfId="2" applyNumberFormat="1" applyFont="1" applyFill="1" applyBorder="1" applyAlignment="1">
      <alignment horizontal="center" vertical="center"/>
    </xf>
    <xf numFmtId="44" fontId="24" fillId="0" borderId="71" xfId="2" applyNumberFormat="1" applyFont="1" applyFill="1" applyBorder="1" applyAlignment="1">
      <alignment horizontal="center" vertical="center"/>
    </xf>
    <xf numFmtId="44" fontId="24" fillId="0" borderId="72" xfId="2" applyNumberFormat="1" applyFont="1" applyFill="1" applyBorder="1" applyAlignment="1">
      <alignment horizontal="center" vertical="center"/>
    </xf>
    <xf numFmtId="44" fontId="0" fillId="0" borderId="70" xfId="2" applyNumberFormat="1" applyFont="1" applyFill="1" applyBorder="1" applyAlignment="1">
      <alignment horizontal="center" vertical="center"/>
    </xf>
    <xf numFmtId="44" fontId="0" fillId="0" borderId="71" xfId="2" applyNumberFormat="1" applyFont="1" applyFill="1" applyBorder="1" applyAlignment="1">
      <alignment horizontal="center" vertical="center"/>
    </xf>
    <xf numFmtId="44" fontId="0" fillId="0" borderId="72" xfId="2" applyNumberFormat="1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 wrapText="1"/>
    </xf>
    <xf numFmtId="44" fontId="14" fillId="0" borderId="55" xfId="2" applyFont="1" applyFill="1" applyBorder="1" applyAlignment="1">
      <alignment horizontal="center" vertical="center"/>
    </xf>
    <xf numFmtId="44" fontId="15" fillId="0" borderId="55" xfId="2" applyFont="1" applyFill="1" applyBorder="1" applyAlignment="1">
      <alignment horizontal="right" vertical="center"/>
    </xf>
    <xf numFmtId="44" fontId="14" fillId="0" borderId="79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5" fillId="0" borderId="0" xfId="0" applyFont="1" applyFill="1" applyBorder="1"/>
    <xf numFmtId="44" fontId="15" fillId="0" borderId="0" xfId="2" applyFont="1" applyFill="1" applyBorder="1"/>
    <xf numFmtId="0" fontId="15" fillId="0" borderId="0" xfId="0" applyNumberFormat="1" applyFont="1" applyFill="1" applyBorder="1"/>
    <xf numFmtId="49" fontId="15" fillId="0" borderId="0" xfId="0" applyNumberFormat="1" applyFont="1" applyFill="1" applyBorder="1"/>
    <xf numFmtId="15" fontId="15" fillId="0" borderId="0" xfId="0" applyNumberFormat="1" applyFont="1" applyFill="1" applyBorder="1"/>
    <xf numFmtId="0" fontId="15" fillId="0" borderId="78" xfId="0" applyFont="1" applyFill="1" applyBorder="1"/>
    <xf numFmtId="44" fontId="0" fillId="0" borderId="0" xfId="0" applyNumberFormat="1" applyFill="1"/>
    <xf numFmtId="2" fontId="0" fillId="0" borderId="1" xfId="0" applyNumberFormat="1" applyFill="1" applyBorder="1" applyAlignment="1">
      <alignment horizontal="center"/>
    </xf>
    <xf numFmtId="44" fontId="8" fillId="0" borderId="9" xfId="2" applyFont="1" applyFill="1" applyBorder="1" applyAlignment="1">
      <alignment horizontal="center" vertical="center" wrapText="1"/>
    </xf>
    <xf numFmtId="44" fontId="19" fillId="0" borderId="25" xfId="2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5" fontId="1" fillId="0" borderId="14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Continuous"/>
    </xf>
    <xf numFmtId="10" fontId="3" fillId="0" borderId="0" xfId="0" applyNumberFormat="1" applyFont="1" applyFill="1" applyAlignment="1">
      <alignment horizontal="centerContinuous"/>
    </xf>
    <xf numFmtId="4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170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0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wrapText="1"/>
    </xf>
    <xf numFmtId="166" fontId="4" fillId="0" borderId="2" xfId="0" applyNumberFormat="1" applyFont="1" applyFill="1" applyBorder="1" applyAlignment="1">
      <alignment wrapText="1"/>
    </xf>
    <xf numFmtId="10" fontId="4" fillId="0" borderId="2" xfId="0" applyNumberFormat="1" applyFont="1" applyFill="1" applyBorder="1" applyAlignment="1">
      <alignment wrapText="1"/>
    </xf>
    <xf numFmtId="170" fontId="0" fillId="0" borderId="2" xfId="0" applyNumberFormat="1" applyFill="1" applyBorder="1"/>
    <xf numFmtId="4" fontId="4" fillId="0" borderId="2" xfId="0" applyNumberFormat="1" applyFont="1" applyFill="1" applyBorder="1" applyAlignment="1">
      <alignment wrapText="1"/>
    </xf>
    <xf numFmtId="4" fontId="0" fillId="0" borderId="2" xfId="0" applyNumberFormat="1" applyFill="1" applyBorder="1"/>
    <xf numFmtId="0" fontId="4" fillId="0" borderId="0" xfId="0" applyFont="1" applyFill="1" applyAlignment="1">
      <alignment wrapText="1"/>
    </xf>
    <xf numFmtId="0" fontId="1" fillId="0" borderId="2" xfId="0" applyFont="1" applyFill="1" applyBorder="1"/>
    <xf numFmtId="10" fontId="0" fillId="0" borderId="2" xfId="0" applyNumberFormat="1" applyFill="1" applyBorder="1"/>
    <xf numFmtId="0" fontId="0" fillId="0" borderId="2" xfId="0" applyFill="1" applyBorder="1" applyAlignment="1">
      <alignment wrapText="1"/>
    </xf>
    <xf numFmtId="172" fontId="0" fillId="0" borderId="0" xfId="0" applyNumberFormat="1" applyFill="1"/>
    <xf numFmtId="15" fontId="1" fillId="0" borderId="9" xfId="0" applyNumberFormat="1" applyFont="1" applyFill="1" applyBorder="1" applyAlignment="1">
      <alignment wrapText="1"/>
    </xf>
    <xf numFmtId="15" fontId="1" fillId="0" borderId="12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0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/>
    </xf>
    <xf numFmtId="44" fontId="15" fillId="0" borderId="2" xfId="0" applyNumberFormat="1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/>
    </xf>
    <xf numFmtId="0" fontId="19" fillId="0" borderId="7" xfId="2" applyNumberFormat="1" applyFont="1" applyFill="1" applyBorder="1" applyAlignment="1">
      <alignment horizontal="right" vertical="center" wrapText="1"/>
    </xf>
    <xf numFmtId="0" fontId="19" fillId="0" borderId="29" xfId="2" applyNumberFormat="1" applyFont="1" applyFill="1" applyBorder="1" applyAlignment="1">
      <alignment horizontal="right" vertical="center" wrapText="1"/>
    </xf>
    <xf numFmtId="0" fontId="19" fillId="0" borderId="23" xfId="2" applyNumberFormat="1" applyFont="1" applyFill="1" applyBorder="1" applyAlignment="1">
      <alignment horizontal="right" vertical="center" wrapText="1"/>
    </xf>
    <xf numFmtId="15" fontId="1" fillId="0" borderId="14" xfId="0" applyNumberFormat="1" applyFont="1" applyFill="1" applyBorder="1" applyAlignment="1">
      <alignment horizontal="center" vertical="center"/>
    </xf>
    <xf numFmtId="15" fontId="1" fillId="0" borderId="12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44" fontId="5" fillId="0" borderId="0" xfId="3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4" fontId="3" fillId="0" borderId="0" xfId="3" applyFont="1" applyFill="1" applyAlignment="1">
      <alignment horizontal="center"/>
    </xf>
    <xf numFmtId="15" fontId="1" fillId="0" borderId="29" xfId="0" applyNumberFormat="1" applyFont="1" applyFill="1" applyBorder="1" applyAlignment="1">
      <alignment horizontal="left" vertical="center"/>
    </xf>
    <xf numFmtId="2" fontId="0" fillId="0" borderId="0" xfId="0" applyNumberFormat="1" applyFill="1"/>
    <xf numFmtId="10" fontId="15" fillId="0" borderId="2" xfId="2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4" fontId="15" fillId="0" borderId="2" xfId="2" applyNumberFormat="1" applyFont="1" applyFill="1" applyBorder="1" applyAlignment="1">
      <alignment horizontal="right" vertical="center"/>
    </xf>
    <xf numFmtId="44" fontId="15" fillId="0" borderId="7" xfId="2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/>
    </xf>
    <xf numFmtId="44" fontId="15" fillId="0" borderId="7" xfId="2" applyNumberFormat="1" applyFont="1" applyFill="1" applyBorder="1" applyAlignment="1">
      <alignment horizontal="right" vertical="center"/>
    </xf>
    <xf numFmtId="44" fontId="15" fillId="0" borderId="29" xfId="2" applyNumberFormat="1" applyFont="1" applyFill="1" applyBorder="1" applyAlignment="1">
      <alignment horizontal="right" vertical="center"/>
    </xf>
    <xf numFmtId="44" fontId="15" fillId="0" borderId="23" xfId="2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10" fontId="15" fillId="0" borderId="7" xfId="2" applyNumberFormat="1" applyFont="1" applyFill="1" applyBorder="1" applyAlignment="1">
      <alignment horizontal="center" vertical="center"/>
    </xf>
    <xf numFmtId="10" fontId="15" fillId="0" borderId="29" xfId="2" applyNumberFormat="1" applyFont="1" applyFill="1" applyBorder="1" applyAlignment="1">
      <alignment horizontal="center" vertical="center"/>
    </xf>
    <xf numFmtId="10" fontId="15" fillId="0" borderId="23" xfId="2" applyNumberFormat="1" applyFont="1" applyFill="1" applyBorder="1" applyAlignment="1">
      <alignment horizontal="center" vertical="center"/>
    </xf>
    <xf numFmtId="44" fontId="15" fillId="0" borderId="2" xfId="2" applyNumberFormat="1" applyFon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4" fontId="0" fillId="0" borderId="7" xfId="2" applyNumberFormat="1" applyFont="1" applyFill="1" applyBorder="1" applyAlignment="1">
      <alignment horizontal="center" vertical="center"/>
    </xf>
    <xf numFmtId="44" fontId="0" fillId="0" borderId="29" xfId="2" applyNumberFormat="1" applyFont="1" applyFill="1" applyBorder="1" applyAlignment="1">
      <alignment horizontal="center" vertical="center"/>
    </xf>
    <xf numFmtId="44" fontId="0" fillId="0" borderId="23" xfId="2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170" fontId="0" fillId="0" borderId="8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170" fontId="0" fillId="0" borderId="9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0" fontId="0" fillId="0" borderId="37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0" fontId="0" fillId="0" borderId="45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5" fontId="1" fillId="0" borderId="29" xfId="0" applyNumberFormat="1" applyFont="1" applyFill="1" applyBorder="1" applyAlignment="1">
      <alignment horizontal="center" vertical="center"/>
    </xf>
    <xf numFmtId="15" fontId="1" fillId="0" borderId="67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" fillId="0" borderId="67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left" vertical="center" wrapText="1"/>
    </xf>
    <xf numFmtId="15" fontId="0" fillId="0" borderId="67" xfId="0" applyNumberFormat="1" applyFill="1" applyBorder="1" applyAlignment="1">
      <alignment horizontal="center" vertical="center"/>
    </xf>
    <xf numFmtId="168" fontId="0" fillId="0" borderId="67" xfId="0" applyNumberFormat="1" applyFill="1" applyBorder="1" applyAlignment="1">
      <alignment horizontal="center" vertical="center"/>
    </xf>
    <xf numFmtId="10" fontId="0" fillId="0" borderId="67" xfId="0" applyNumberFormat="1" applyFill="1" applyBorder="1" applyAlignment="1">
      <alignment horizontal="center" vertical="center"/>
    </xf>
    <xf numFmtId="4" fontId="0" fillId="0" borderId="67" xfId="0" applyNumberFormat="1" applyFill="1" applyBorder="1" applyAlignment="1">
      <alignment horizontal="center" vertical="center"/>
    </xf>
    <xf numFmtId="168" fontId="0" fillId="0" borderId="80" xfId="0" applyNumberForma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4" fillId="0" borderId="1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10" fontId="15" fillId="0" borderId="2" xfId="2" applyNumberFormat="1" applyFont="1" applyFill="1" applyBorder="1" applyAlignment="1">
      <alignment horizontal="center" vertical="center"/>
    </xf>
    <xf numFmtId="44" fontId="19" fillId="0" borderId="7" xfId="2" applyFont="1" applyFill="1" applyBorder="1" applyAlignment="1">
      <alignment horizontal="center" vertical="center" wrapText="1"/>
    </xf>
    <xf numFmtId="44" fontId="19" fillId="0" borderId="29" xfId="2" applyFont="1" applyFill="1" applyBorder="1" applyAlignment="1">
      <alignment horizontal="center" vertical="center" wrapText="1"/>
    </xf>
    <xf numFmtId="44" fontId="19" fillId="0" borderId="23" xfId="2" applyFont="1" applyFill="1" applyBorder="1" applyAlignment="1">
      <alignment horizontal="center" vertical="center" wrapText="1"/>
    </xf>
    <xf numFmtId="44" fontId="15" fillId="0" borderId="55" xfId="2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44" fontId="15" fillId="0" borderId="2" xfId="2" applyNumberFormat="1" applyFont="1" applyFill="1" applyBorder="1" applyAlignment="1">
      <alignment horizontal="right" vertical="center"/>
    </xf>
    <xf numFmtId="0" fontId="19" fillId="0" borderId="7" xfId="2" applyNumberFormat="1" applyFont="1" applyFill="1" applyBorder="1" applyAlignment="1">
      <alignment horizontal="center" vertical="center" wrapText="1"/>
    </xf>
    <xf numFmtId="0" fontId="19" fillId="0" borderId="29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wrapText="1"/>
    </xf>
    <xf numFmtId="0" fontId="19" fillId="0" borderId="29" xfId="2" applyNumberFormat="1" applyFont="1" applyFill="1" applyBorder="1" applyAlignment="1">
      <alignment horizontal="center" wrapText="1"/>
    </xf>
    <xf numFmtId="0" fontId="19" fillId="0" borderId="23" xfId="2" applyNumberFormat="1" applyFont="1" applyFill="1" applyBorder="1" applyAlignment="1">
      <alignment horizontal="center" wrapText="1"/>
    </xf>
    <xf numFmtId="0" fontId="18" fillId="0" borderId="7" xfId="2" applyNumberFormat="1" applyFont="1" applyFill="1" applyBorder="1" applyAlignment="1">
      <alignment horizontal="center" vertical="center" wrapText="1"/>
    </xf>
    <xf numFmtId="0" fontId="18" fillId="0" borderId="29" xfId="2" applyNumberFormat="1" applyFont="1" applyFill="1" applyBorder="1" applyAlignment="1">
      <alignment horizontal="center" vertical="center" wrapText="1"/>
    </xf>
    <xf numFmtId="0" fontId="18" fillId="0" borderId="23" xfId="2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4" fontId="15" fillId="0" borderId="7" xfId="2" applyNumberFormat="1" applyFont="1" applyFill="1" applyBorder="1" applyAlignment="1">
      <alignment horizontal="center" vertical="center"/>
    </xf>
    <xf numFmtId="44" fontId="15" fillId="0" borderId="29" xfId="2" applyNumberFormat="1" applyFont="1" applyFill="1" applyBorder="1" applyAlignment="1">
      <alignment horizontal="center" vertical="center"/>
    </xf>
    <xf numFmtId="44" fontId="15" fillId="0" borderId="23" xfId="2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56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44" fontId="15" fillId="0" borderId="7" xfId="2" applyNumberFormat="1" applyFont="1" applyFill="1" applyBorder="1" applyAlignment="1">
      <alignment horizontal="right" vertical="center"/>
    </xf>
    <xf numFmtId="44" fontId="15" fillId="0" borderId="29" xfId="2" applyNumberFormat="1" applyFont="1" applyFill="1" applyBorder="1" applyAlignment="1">
      <alignment horizontal="right" vertical="center"/>
    </xf>
    <xf numFmtId="44" fontId="15" fillId="0" borderId="23" xfId="2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50" xfId="0" applyFont="1" applyFill="1" applyBorder="1" applyAlignment="1">
      <alignment horizontal="center" vertical="center" textRotation="90"/>
    </xf>
    <xf numFmtId="0" fontId="14" fillId="0" borderId="51" xfId="0" applyFont="1" applyFill="1" applyBorder="1" applyAlignment="1">
      <alignment horizontal="center" vertical="center" textRotation="90"/>
    </xf>
    <xf numFmtId="0" fontId="14" fillId="0" borderId="34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/>
    </xf>
    <xf numFmtId="10" fontId="15" fillId="0" borderId="7" xfId="2" applyNumberFormat="1" applyFont="1" applyFill="1" applyBorder="1" applyAlignment="1">
      <alignment horizontal="center" vertical="center"/>
    </xf>
    <xf numFmtId="10" fontId="15" fillId="0" borderId="29" xfId="2" applyNumberFormat="1" applyFont="1" applyFill="1" applyBorder="1" applyAlignment="1">
      <alignment horizontal="center" vertical="center"/>
    </xf>
    <xf numFmtId="10" fontId="15" fillId="0" borderId="23" xfId="2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15" fontId="15" fillId="0" borderId="2" xfId="2" applyNumberFormat="1" applyFont="1" applyFill="1" applyBorder="1" applyAlignment="1">
      <alignment horizontal="right" vertical="center"/>
    </xf>
    <xf numFmtId="44" fontId="15" fillId="0" borderId="2" xfId="2" applyFont="1" applyFill="1" applyBorder="1" applyAlignment="1">
      <alignment horizontal="center"/>
    </xf>
    <xf numFmtId="44" fontId="15" fillId="0" borderId="2" xfId="2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7" fillId="0" borderId="7" xfId="2" applyNumberFormat="1" applyFont="1" applyFill="1" applyBorder="1" applyAlignment="1">
      <alignment horizontal="center" vertical="center" wrapText="1"/>
    </xf>
    <xf numFmtId="0" fontId="27" fillId="0" borderId="29" xfId="2" applyNumberFormat="1" applyFont="1" applyFill="1" applyBorder="1" applyAlignment="1">
      <alignment horizontal="center" vertical="center" wrapText="1"/>
    </xf>
    <xf numFmtId="0" fontId="27" fillId="0" borderId="23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/>
    </xf>
    <xf numFmtId="0" fontId="19" fillId="0" borderId="29" xfId="2" applyNumberFormat="1" applyFont="1" applyFill="1" applyBorder="1" applyAlignment="1">
      <alignment horizontal="center" vertical="center"/>
    </xf>
    <xf numFmtId="0" fontId="19" fillId="0" borderId="23" xfId="2" applyNumberFormat="1" applyFont="1" applyFill="1" applyBorder="1" applyAlignment="1">
      <alignment horizontal="center" vertical="center"/>
    </xf>
    <xf numFmtId="15" fontId="15" fillId="0" borderId="2" xfId="2" applyNumberFormat="1" applyFont="1" applyFill="1" applyBorder="1" applyAlignment="1">
      <alignment horizontal="right" vertical="center" wrapText="1"/>
    </xf>
    <xf numFmtId="44" fontId="15" fillId="0" borderId="2" xfId="2" applyNumberFormat="1" applyFont="1" applyFill="1" applyBorder="1" applyAlignment="1">
      <alignment horizontal="right" vertical="center" wrapText="1"/>
    </xf>
    <xf numFmtId="15" fontId="15" fillId="0" borderId="7" xfId="2" applyNumberFormat="1" applyFont="1" applyFill="1" applyBorder="1" applyAlignment="1">
      <alignment horizontal="right" vertical="center" wrapText="1"/>
    </xf>
    <xf numFmtId="44" fontId="15" fillId="0" borderId="29" xfId="2" applyNumberFormat="1" applyFont="1" applyFill="1" applyBorder="1" applyAlignment="1">
      <alignment horizontal="right" vertical="center" wrapText="1"/>
    </xf>
    <xf numFmtId="44" fontId="15" fillId="0" borderId="23" xfId="2" applyNumberFormat="1" applyFont="1" applyFill="1" applyBorder="1" applyAlignment="1">
      <alignment horizontal="right" vertical="center" wrapText="1"/>
    </xf>
    <xf numFmtId="44" fontId="27" fillId="0" borderId="7" xfId="2" applyFont="1" applyFill="1" applyBorder="1" applyAlignment="1">
      <alignment horizontal="center" vertical="center" wrapText="1"/>
    </xf>
    <xf numFmtId="44" fontId="27" fillId="0" borderId="29" xfId="2" applyFont="1" applyFill="1" applyBorder="1" applyAlignment="1">
      <alignment horizontal="center" vertical="center" wrapText="1"/>
    </xf>
    <xf numFmtId="44" fontId="27" fillId="0" borderId="23" xfId="2" applyFont="1" applyFill="1" applyBorder="1" applyAlignment="1">
      <alignment horizontal="center" vertical="center" wrapText="1"/>
    </xf>
    <xf numFmtId="44" fontId="15" fillId="0" borderId="77" xfId="2" applyNumberFormat="1" applyFont="1" applyFill="1" applyBorder="1" applyAlignment="1">
      <alignment horizontal="right" vertical="center"/>
    </xf>
    <xf numFmtId="44" fontId="15" fillId="0" borderId="78" xfId="2" applyNumberFormat="1" applyFont="1" applyFill="1" applyBorder="1" applyAlignment="1">
      <alignment horizontal="right" vertical="center"/>
    </xf>
    <xf numFmtId="44" fontId="15" fillId="0" borderId="53" xfId="2" applyNumberFormat="1" applyFont="1" applyFill="1" applyBorder="1" applyAlignment="1">
      <alignment horizontal="right" vertical="center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10" fontId="15" fillId="0" borderId="7" xfId="2" applyNumberFormat="1" applyFont="1" applyFill="1" applyBorder="1" applyAlignment="1">
      <alignment horizontal="center" vertical="center" wrapText="1"/>
    </xf>
    <xf numFmtId="10" fontId="15" fillId="0" borderId="29" xfId="2" applyNumberFormat="1" applyFont="1" applyFill="1" applyBorder="1" applyAlignment="1">
      <alignment horizontal="center" vertical="center" wrapText="1"/>
    </xf>
    <xf numFmtId="10" fontId="15" fillId="0" borderId="23" xfId="2" applyNumberFormat="1" applyFont="1" applyFill="1" applyBorder="1" applyAlignment="1">
      <alignment horizontal="center" vertical="center" wrapText="1"/>
    </xf>
    <xf numFmtId="44" fontId="15" fillId="0" borderId="2" xfId="2" applyNumberFormat="1" applyFont="1" applyFill="1" applyBorder="1" applyAlignment="1">
      <alignment horizontal="center" vertical="center"/>
    </xf>
    <xf numFmtId="44" fontId="19" fillId="0" borderId="2" xfId="2" applyFont="1" applyFill="1" applyBorder="1" applyAlignment="1">
      <alignment horizontal="center" vertical="center"/>
    </xf>
    <xf numFmtId="10" fontId="15" fillId="0" borderId="7" xfId="2" applyNumberFormat="1" applyFont="1" applyFill="1" applyBorder="1" applyAlignment="1">
      <alignment vertical="center"/>
    </xf>
    <xf numFmtId="10" fontId="15" fillId="0" borderId="29" xfId="2" applyNumberFormat="1" applyFont="1" applyFill="1" applyBorder="1" applyAlignment="1">
      <alignment vertical="center"/>
    </xf>
    <xf numFmtId="10" fontId="15" fillId="0" borderId="23" xfId="2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44" fontId="21" fillId="0" borderId="7" xfId="2" applyNumberFormat="1" applyFont="1" applyFill="1" applyBorder="1" applyAlignment="1">
      <alignment horizontal="center" vertical="center"/>
    </xf>
    <xf numFmtId="44" fontId="21" fillId="0" borderId="29" xfId="2" applyNumberFormat="1" applyFont="1" applyFill="1" applyBorder="1" applyAlignment="1">
      <alignment horizontal="center" vertical="center"/>
    </xf>
    <xf numFmtId="44" fontId="21" fillId="0" borderId="23" xfId="2" applyNumberFormat="1" applyFont="1" applyFill="1" applyBorder="1" applyAlignment="1">
      <alignment horizontal="center" vertical="center"/>
    </xf>
    <xf numFmtId="44" fontId="21" fillId="0" borderId="2" xfId="2" applyNumberFormat="1" applyFont="1" applyFill="1" applyBorder="1" applyAlignment="1">
      <alignment horizontal="center" vertical="center"/>
    </xf>
    <xf numFmtId="10" fontId="21" fillId="0" borderId="2" xfId="2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4" fontId="15" fillId="0" borderId="26" xfId="2" applyNumberFormat="1" applyFont="1" applyFill="1" applyBorder="1" applyAlignment="1">
      <alignment horizontal="right" vertical="center"/>
    </xf>
    <xf numFmtId="0" fontId="14" fillId="0" borderId="73" xfId="0" applyFon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57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0" fontId="1" fillId="0" borderId="46" xfId="2" applyNumberFormat="1" applyFont="1" applyFill="1" applyBorder="1" applyAlignment="1">
      <alignment horizontal="center" vertical="center" wrapText="1"/>
    </xf>
    <xf numFmtId="10" fontId="8" fillId="0" borderId="44" xfId="2" applyNumberFormat="1" applyFont="1" applyFill="1" applyBorder="1" applyAlignment="1">
      <alignment horizontal="center" vertical="center" wrapText="1"/>
    </xf>
    <xf numFmtId="10" fontId="8" fillId="0" borderId="45" xfId="2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4" fontId="0" fillId="0" borderId="7" xfId="2" applyNumberFormat="1" applyFont="1" applyFill="1" applyBorder="1" applyAlignment="1">
      <alignment horizontal="center" vertical="center"/>
    </xf>
    <xf numFmtId="44" fontId="0" fillId="0" borderId="29" xfId="2" applyNumberFormat="1" applyFont="1" applyFill="1" applyBorder="1" applyAlignment="1">
      <alignment horizontal="center" vertical="center"/>
    </xf>
    <xf numFmtId="44" fontId="0" fillId="0" borderId="23" xfId="2" applyNumberFormat="1" applyFont="1" applyFill="1" applyBorder="1" applyAlignment="1">
      <alignment horizontal="center" vertical="center"/>
    </xf>
    <xf numFmtId="10" fontId="8" fillId="0" borderId="46" xfId="2" applyNumberFormat="1" applyFont="1" applyFill="1" applyBorder="1" applyAlignment="1">
      <alignment horizontal="center" vertical="center"/>
    </xf>
    <xf numFmtId="10" fontId="8" fillId="0" borderId="44" xfId="2" applyNumberFormat="1" applyFont="1" applyFill="1" applyBorder="1" applyAlignment="1">
      <alignment horizontal="center" vertical="center"/>
    </xf>
    <xf numFmtId="10" fontId="8" fillId="0" borderId="45" xfId="2" applyNumberFormat="1" applyFont="1" applyFill="1" applyBorder="1" applyAlignment="1">
      <alignment horizontal="center" vertical="center"/>
    </xf>
    <xf numFmtId="15" fontId="0" fillId="0" borderId="8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9" xfId="0" applyNumberFormat="1" applyFill="1" applyBorder="1" applyAlignment="1">
      <alignment horizontal="center" vertical="center"/>
    </xf>
    <xf numFmtId="10" fontId="0" fillId="0" borderId="7" xfId="2" applyNumberFormat="1" applyFont="1" applyFill="1" applyBorder="1" applyAlignment="1">
      <alignment horizontal="center" vertical="center"/>
    </xf>
    <xf numFmtId="10" fontId="0" fillId="0" borderId="29" xfId="2" applyNumberFormat="1" applyFont="1" applyFill="1" applyBorder="1" applyAlignment="1">
      <alignment horizontal="center" vertical="center"/>
    </xf>
    <xf numFmtId="10" fontId="0" fillId="0" borderId="23" xfId="2" applyNumberFormat="1" applyFont="1" applyFill="1" applyBorder="1" applyAlignment="1">
      <alignment horizontal="center" vertical="center"/>
    </xf>
    <xf numFmtId="10" fontId="23" fillId="0" borderId="7" xfId="2" applyNumberFormat="1" applyFont="1" applyFill="1" applyBorder="1" applyAlignment="1">
      <alignment horizontal="center" vertical="center"/>
    </xf>
    <xf numFmtId="10" fontId="23" fillId="0" borderId="29" xfId="2" applyNumberFormat="1" applyFont="1" applyFill="1" applyBorder="1" applyAlignment="1">
      <alignment horizontal="center" vertical="center"/>
    </xf>
    <xf numFmtId="10" fontId="23" fillId="0" borderId="23" xfId="2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4" fontId="0" fillId="0" borderId="60" xfId="2" applyNumberFormat="1" applyFont="1" applyFill="1" applyBorder="1" applyAlignment="1">
      <alignment horizontal="center" vertical="center"/>
    </xf>
    <xf numFmtId="174" fontId="0" fillId="0" borderId="8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9" xfId="0" applyNumberFormat="1" applyFill="1" applyBorder="1" applyAlignment="1">
      <alignment horizontal="center" vertical="center"/>
    </xf>
    <xf numFmtId="15" fontId="1" fillId="0" borderId="8" xfId="0" applyNumberFormat="1" applyFont="1" applyFill="1" applyBorder="1" applyAlignment="1">
      <alignment horizontal="center" vertical="center" wrapText="1"/>
    </xf>
    <xf numFmtId="173" fontId="1" fillId="0" borderId="8" xfId="0" applyNumberFormat="1" applyFont="1" applyFill="1" applyBorder="1" applyAlignment="1">
      <alignment horizontal="center" vertical="center" wrapText="1"/>
    </xf>
    <xf numFmtId="173" fontId="0" fillId="0" borderId="1" xfId="0" applyNumberFormat="1" applyFill="1" applyBorder="1" applyAlignment="1">
      <alignment horizontal="center" vertical="center"/>
    </xf>
    <xf numFmtId="173" fontId="0" fillId="0" borderId="9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4" fontId="24" fillId="0" borderId="60" xfId="2" applyNumberFormat="1" applyFont="1" applyFill="1" applyBorder="1" applyAlignment="1">
      <alignment horizontal="center" vertical="center"/>
    </xf>
    <xf numFmtId="15" fontId="0" fillId="0" borderId="37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44" fontId="0" fillId="0" borderId="57" xfId="0" applyNumberForma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0" fontId="22" fillId="0" borderId="7" xfId="2" applyNumberFormat="1" applyFont="1" applyFill="1" applyBorder="1" applyAlignment="1">
      <alignment horizontal="center" vertical="center"/>
    </xf>
    <xf numFmtId="10" fontId="22" fillId="0" borderId="29" xfId="2" applyNumberFormat="1" applyFont="1" applyFill="1" applyBorder="1" applyAlignment="1">
      <alignment horizontal="center" vertical="center"/>
    </xf>
    <xf numFmtId="10" fontId="22" fillId="0" borderId="23" xfId="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4" fontId="1" fillId="0" borderId="60" xfId="2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5" fontId="1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0" fontId="0" fillId="0" borderId="8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170" fontId="0" fillId="0" borderId="9" xfId="0" applyNumberFormat="1" applyFill="1" applyBorder="1" applyAlignment="1">
      <alignment horizontal="center" vertical="center"/>
    </xf>
    <xf numFmtId="171" fontId="0" fillId="0" borderId="46" xfId="2" applyNumberFormat="1" applyFont="1" applyFill="1" applyBorder="1" applyAlignment="1">
      <alignment horizontal="center" vertical="center"/>
    </xf>
    <xf numFmtId="171" fontId="0" fillId="0" borderId="44" xfId="2" applyNumberFormat="1" applyFont="1" applyFill="1" applyBorder="1" applyAlignment="1">
      <alignment horizontal="center" vertical="center"/>
    </xf>
    <xf numFmtId="171" fontId="0" fillId="0" borderId="45" xfId="2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15" fontId="0" fillId="0" borderId="46" xfId="0" applyNumberFormat="1" applyFill="1" applyBorder="1" applyAlignment="1">
      <alignment horizontal="center" vertical="center"/>
    </xf>
    <xf numFmtId="15" fontId="0" fillId="0" borderId="44" xfId="0" applyNumberFormat="1" applyFill="1" applyBorder="1" applyAlignment="1">
      <alignment horizontal="center" vertical="center"/>
    </xf>
    <xf numFmtId="15" fontId="0" fillId="0" borderId="45" xfId="0" applyNumberForma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wrapText="1"/>
    </xf>
    <xf numFmtId="165" fontId="0" fillId="0" borderId="46" xfId="2" applyNumberFormat="1" applyFont="1" applyFill="1" applyBorder="1" applyAlignment="1">
      <alignment horizontal="center" vertical="center"/>
    </xf>
    <xf numFmtId="165" fontId="0" fillId="0" borderId="44" xfId="2" applyNumberFormat="1" applyFont="1" applyFill="1" applyBorder="1" applyAlignment="1">
      <alignment horizontal="center" vertical="center"/>
    </xf>
    <xf numFmtId="165" fontId="0" fillId="0" borderId="45" xfId="2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5" fontId="1" fillId="0" borderId="42" xfId="0" applyNumberFormat="1" applyFont="1" applyFill="1" applyBorder="1" applyAlignment="1">
      <alignment horizontal="center" wrapText="1"/>
    </xf>
    <xf numFmtId="15" fontId="0" fillId="0" borderId="1" xfId="0" applyNumberFormat="1" applyFill="1" applyBorder="1" applyAlignment="1">
      <alignment horizontal="center"/>
    </xf>
    <xf numFmtId="15" fontId="0" fillId="0" borderId="9" xfId="0" applyNumberFormat="1" applyFill="1" applyBorder="1" applyAlignment="1">
      <alignment horizontal="center"/>
    </xf>
    <xf numFmtId="0" fontId="1" fillId="0" borderId="4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44" fontId="0" fillId="0" borderId="65" xfId="0" applyNumberFormat="1" applyFill="1" applyBorder="1" applyAlignment="1">
      <alignment horizontal="center" vertical="center"/>
    </xf>
    <xf numFmtId="44" fontId="0" fillId="0" borderId="62" xfId="0" applyNumberFormat="1" applyFill="1" applyBorder="1" applyAlignment="1">
      <alignment horizontal="center" vertical="center"/>
    </xf>
    <xf numFmtId="44" fontId="0" fillId="0" borderId="63" xfId="0" applyNumberFormat="1" applyFill="1" applyBorder="1" applyAlignment="1">
      <alignment horizontal="center" vertical="center"/>
    </xf>
    <xf numFmtId="44" fontId="0" fillId="0" borderId="64" xfId="0" applyNumberForma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left" wrapText="1"/>
    </xf>
    <xf numFmtId="170" fontId="6" fillId="0" borderId="10" xfId="0" applyNumberFormat="1" applyFont="1" applyFill="1" applyBorder="1" applyAlignment="1">
      <alignment horizontal="left" wrapText="1"/>
    </xf>
    <xf numFmtId="170" fontId="6" fillId="0" borderId="11" xfId="0" applyNumberFormat="1" applyFont="1" applyFill="1" applyBorder="1" applyAlignment="1">
      <alignment horizontal="left" wrapText="1"/>
    </xf>
    <xf numFmtId="170" fontId="0" fillId="0" borderId="37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0" fontId="0" fillId="0" borderId="46" xfId="0" applyNumberFormat="1" applyFill="1" applyBorder="1" applyAlignment="1">
      <alignment horizontal="center" vertical="center"/>
    </xf>
    <xf numFmtId="170" fontId="0" fillId="0" borderId="44" xfId="0" applyNumberFormat="1" applyFill="1" applyBorder="1" applyAlignment="1">
      <alignment horizontal="center" vertical="center"/>
    </xf>
    <xf numFmtId="170" fontId="0" fillId="0" borderId="45" xfId="0" applyNumberFormat="1" applyFill="1" applyBorder="1" applyAlignment="1">
      <alignment horizontal="center" vertical="center"/>
    </xf>
    <xf numFmtId="15" fontId="0" fillId="0" borderId="42" xfId="0" applyNumberFormat="1" applyFill="1" applyBorder="1" applyAlignment="1">
      <alignment horizontal="center" vertical="center"/>
    </xf>
    <xf numFmtId="15" fontId="1" fillId="0" borderId="46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44" fontId="22" fillId="0" borderId="60" xfId="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167" fontId="0" fillId="0" borderId="8" xfId="0" applyNumberFormat="1" applyFill="1" applyBorder="1" applyAlignment="1">
      <alignment horizontal="center" wrapText="1"/>
    </xf>
    <xf numFmtId="15" fontId="0" fillId="0" borderId="37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81" xfId="0" applyFont="1" applyFill="1" applyBorder="1" applyAlignment="1">
      <alignment horizontal="right" vertical="center"/>
    </xf>
    <xf numFmtId="0" fontId="20" fillId="0" borderId="82" xfId="0" applyFont="1" applyFill="1" applyBorder="1" applyAlignment="1">
      <alignment horizontal="right" vertical="center"/>
    </xf>
    <xf numFmtId="0" fontId="0" fillId="0" borderId="6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15" fontId="1" fillId="0" borderId="66" xfId="0" applyNumberFormat="1" applyFont="1" applyFill="1" applyBorder="1" applyAlignment="1">
      <alignment horizontal="center" vertical="center"/>
    </xf>
    <xf numFmtId="15" fontId="1" fillId="0" borderId="29" xfId="0" applyNumberFormat="1" applyFont="1" applyFill="1" applyBorder="1" applyAlignment="1">
      <alignment horizontal="center" vertical="center"/>
    </xf>
    <xf numFmtId="15" fontId="1" fillId="0" borderId="67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</cellXfs>
  <cellStyles count="6">
    <cellStyle name="Comma 2" xfId="1" xr:uid="{00000000-0005-0000-0000-000000000000}"/>
    <cellStyle name="Currency" xfId="2" builtinId="4"/>
    <cellStyle name="Currency 2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18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ubs.worldbank.org/Users/Pavilion/AppData/Local/Microsoft/Windows/Temporary%20Internet%20Files/Content.Outlook/300M9ZYK/GBWSP%20Model%20Procurement%20Plan%2026-08-2013%20edi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ubs.worldbank.org/Users/Pavilion/Documents/Data/Awaly-Beyrouth/Procurement%20plan/2013-06-30/GBWSP%20Model%20Procurement%20Plan%2031-03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General"/>
      <sheetName val="Goods and Works"/>
      <sheetName val="Consulting Services"/>
      <sheetName val="PMU"/>
      <sheetName val="Capacity Building"/>
    </sheetNames>
    <sheetDataSet>
      <sheetData sheetId="0">
        <row r="1">
          <cell r="A1" t="str">
            <v>Prior</v>
          </cell>
        </row>
        <row r="2">
          <cell r="A2" t="str">
            <v>Post</v>
          </cell>
        </row>
        <row r="4">
          <cell r="A4" t="str">
            <v>Firm</v>
          </cell>
        </row>
        <row r="5">
          <cell r="A5" t="str">
            <v>Individual</v>
          </cell>
        </row>
        <row r="7">
          <cell r="A7" t="str">
            <v>Yes</v>
          </cell>
        </row>
        <row r="8">
          <cell r="A8" t="str">
            <v>No</v>
          </cell>
        </row>
        <row r="10">
          <cell r="A10" t="str">
            <v>Goods</v>
          </cell>
        </row>
        <row r="11">
          <cell r="A11" t="str">
            <v>Works</v>
          </cell>
        </row>
        <row r="12">
          <cell r="A12" t="str">
            <v>Non-Consulting Services</v>
          </cell>
        </row>
      </sheetData>
      <sheetData sheetId="1">
        <row r="5">
          <cell r="C5" t="str">
            <v>Greater Beirut Water Supply Project</v>
          </cell>
        </row>
        <row r="6">
          <cell r="C6" t="str">
            <v>Lebanon</v>
          </cell>
        </row>
        <row r="7">
          <cell r="C7" t="str">
            <v>IBRD 7010</v>
          </cell>
        </row>
        <row r="8">
          <cell r="C8" t="str">
            <v>7967-LE/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General"/>
      <sheetName val="Goods and Works"/>
      <sheetName val="Consulting Services"/>
      <sheetName val="PMU"/>
      <sheetName val="Capacity Building"/>
    </sheetNames>
    <sheetDataSet>
      <sheetData sheetId="0">
        <row r="10">
          <cell r="A10" t="str">
            <v>Goods</v>
          </cell>
        </row>
        <row r="11">
          <cell r="A11" t="str">
            <v>Works</v>
          </cell>
        </row>
        <row r="12">
          <cell r="A12" t="str">
            <v>Non-Consulting Services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D12"/>
  <sheetViews>
    <sheetView workbookViewId="0">
      <selection activeCell="E6" sqref="E6"/>
    </sheetView>
  </sheetViews>
  <sheetFormatPr defaultRowHeight="12.75" x14ac:dyDescent="0.35"/>
  <sheetData>
    <row r="1" spans="1:4" x14ac:dyDescent="0.35">
      <c r="A1" t="s">
        <v>61</v>
      </c>
      <c r="C1" t="s">
        <v>108</v>
      </c>
      <c r="D1">
        <v>1</v>
      </c>
    </row>
    <row r="2" spans="1:4" x14ac:dyDescent="0.35">
      <c r="A2" t="s">
        <v>62</v>
      </c>
      <c r="C2" t="s">
        <v>109</v>
      </c>
      <c r="D2" s="25">
        <v>39916</v>
      </c>
    </row>
    <row r="3" spans="1:4" x14ac:dyDescent="0.35">
      <c r="C3" t="s">
        <v>110</v>
      </c>
      <c r="D3" t="s">
        <v>111</v>
      </c>
    </row>
    <row r="4" spans="1:4" x14ac:dyDescent="0.35">
      <c r="A4" t="s">
        <v>70</v>
      </c>
    </row>
    <row r="5" spans="1:4" x14ac:dyDescent="0.35">
      <c r="A5" t="s">
        <v>71</v>
      </c>
    </row>
    <row r="7" spans="1:4" x14ac:dyDescent="0.35">
      <c r="A7" t="s">
        <v>76</v>
      </c>
    </row>
    <row r="8" spans="1:4" x14ac:dyDescent="0.35">
      <c r="A8" t="s">
        <v>77</v>
      </c>
    </row>
    <row r="10" spans="1:4" x14ac:dyDescent="0.35">
      <c r="A10" t="s">
        <v>2</v>
      </c>
    </row>
    <row r="11" spans="1:4" x14ac:dyDescent="0.35">
      <c r="A11" t="s">
        <v>3</v>
      </c>
    </row>
    <row r="12" spans="1:4" x14ac:dyDescent="0.35">
      <c r="A12" t="s">
        <v>97</v>
      </c>
    </row>
  </sheetData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T21"/>
  <sheetViews>
    <sheetView showGridLines="0" workbookViewId="0">
      <selection activeCell="J4" sqref="J4:R6"/>
    </sheetView>
  </sheetViews>
  <sheetFormatPr defaultColWidth="9.1328125" defaultRowHeight="12.75" x14ac:dyDescent="0.35"/>
  <cols>
    <col min="1" max="1" width="5.1328125" style="143" customWidth="1"/>
    <col min="2" max="2" width="14.3984375" style="143" customWidth="1"/>
    <col min="3" max="3" width="21.59765625" style="362" customWidth="1"/>
    <col min="4" max="4" width="11.73046875" style="143" customWidth="1"/>
    <col min="5" max="6" width="11.73046875" style="165" customWidth="1"/>
    <col min="7" max="7" width="12.265625" style="143" customWidth="1"/>
    <col min="8" max="8" width="9.265625" style="162" bestFit="1" customWidth="1"/>
    <col min="9" max="9" width="11.1328125" style="162" customWidth="1"/>
    <col min="10" max="12" width="11.1328125" style="163" customWidth="1"/>
    <col min="13" max="13" width="13.3984375" style="163" customWidth="1"/>
    <col min="14" max="14" width="11.1328125" style="163" customWidth="1"/>
    <col min="15" max="15" width="12" style="163" customWidth="1"/>
    <col min="16" max="18" width="11.1328125" style="163" customWidth="1"/>
    <col min="19" max="19" width="23.1328125" style="143" bestFit="1" customWidth="1"/>
    <col min="20" max="20" width="13.265625" style="143" customWidth="1"/>
    <col min="21" max="16384" width="9.1328125" style="143"/>
  </cols>
  <sheetData>
    <row r="1" spans="1:20" ht="17.649999999999999" x14ac:dyDescent="0.5">
      <c r="A1" s="355" t="s">
        <v>45</v>
      </c>
      <c r="B1" s="355"/>
      <c r="C1" s="180"/>
      <c r="D1" s="180"/>
      <c r="E1" s="356"/>
      <c r="F1" s="356"/>
      <c r="G1" s="180"/>
      <c r="H1" s="186"/>
      <c r="I1" s="186"/>
      <c r="J1" s="357"/>
      <c r="K1" s="357"/>
      <c r="L1" s="357"/>
      <c r="M1" s="357"/>
      <c r="N1" s="357"/>
      <c r="O1" s="357"/>
      <c r="P1" s="357"/>
      <c r="Q1" s="357"/>
      <c r="R1" s="357"/>
      <c r="S1" s="180"/>
    </row>
    <row r="2" spans="1:20" ht="13.5" customHeight="1" x14ac:dyDescent="0.35">
      <c r="C2" s="143"/>
    </row>
    <row r="3" spans="1:20" s="362" customFormat="1" ht="65.650000000000006" x14ac:dyDescent="0.4">
      <c r="A3" s="358" t="s">
        <v>54</v>
      </c>
      <c r="B3" s="358" t="s">
        <v>64</v>
      </c>
      <c r="C3" s="358" t="s">
        <v>40</v>
      </c>
      <c r="D3" s="358" t="s">
        <v>41</v>
      </c>
      <c r="E3" s="359" t="s">
        <v>370</v>
      </c>
      <c r="F3" s="359" t="s">
        <v>352</v>
      </c>
      <c r="G3" s="358" t="s">
        <v>42</v>
      </c>
      <c r="H3" s="360" t="s">
        <v>43</v>
      </c>
      <c r="I3" s="360" t="s">
        <v>44</v>
      </c>
      <c r="J3" s="361" t="s">
        <v>367</v>
      </c>
      <c r="K3" s="361" t="s">
        <v>368</v>
      </c>
      <c r="L3" s="361" t="s">
        <v>369</v>
      </c>
      <c r="M3" s="361" t="s">
        <v>364</v>
      </c>
      <c r="N3" s="361" t="s">
        <v>360</v>
      </c>
      <c r="O3" s="361" t="s">
        <v>361</v>
      </c>
      <c r="P3" s="361" t="s">
        <v>366</v>
      </c>
      <c r="Q3" s="361" t="s">
        <v>362</v>
      </c>
      <c r="R3" s="361" t="s">
        <v>363</v>
      </c>
      <c r="S3" s="358" t="s">
        <v>6</v>
      </c>
    </row>
    <row r="4" spans="1:20" ht="25.5" x14ac:dyDescent="0.35">
      <c r="A4" s="363">
        <v>1</v>
      </c>
      <c r="B4" s="364" t="s">
        <v>300</v>
      </c>
      <c r="C4" s="365" t="s">
        <v>508</v>
      </c>
      <c r="D4" s="366"/>
      <c r="E4" s="367">
        <v>0.66</v>
      </c>
      <c r="F4" s="367">
        <f>1-E4</f>
        <v>0.33999999999999997</v>
      </c>
      <c r="G4" s="364" t="s">
        <v>154</v>
      </c>
      <c r="H4" s="368">
        <v>40666</v>
      </c>
      <c r="I4" s="368">
        <v>40669</v>
      </c>
      <c r="J4" s="369"/>
      <c r="K4" s="370"/>
      <c r="L4" s="370"/>
      <c r="M4" s="370"/>
      <c r="N4" s="370"/>
      <c r="O4" s="370"/>
      <c r="P4" s="370"/>
      <c r="Q4" s="370"/>
      <c r="R4" s="370"/>
      <c r="S4" s="364" t="s">
        <v>155</v>
      </c>
      <c r="T4" s="371"/>
    </row>
    <row r="5" spans="1:20" ht="25.5" x14ac:dyDescent="0.35">
      <c r="A5" s="363">
        <v>2</v>
      </c>
      <c r="B5" s="364" t="s">
        <v>505</v>
      </c>
      <c r="C5" s="365" t="s">
        <v>508</v>
      </c>
      <c r="D5" s="372"/>
      <c r="E5" s="373">
        <v>0.66</v>
      </c>
      <c r="F5" s="367">
        <f>1-E5</f>
        <v>0.33999999999999997</v>
      </c>
      <c r="G5" s="372" t="s">
        <v>154</v>
      </c>
      <c r="H5" s="368">
        <v>42263</v>
      </c>
      <c r="I5" s="368">
        <v>42266</v>
      </c>
      <c r="J5" s="370"/>
      <c r="K5" s="370"/>
      <c r="L5" s="370"/>
      <c r="M5" s="370"/>
      <c r="N5" s="370"/>
      <c r="O5" s="370"/>
      <c r="P5" s="370"/>
      <c r="Q5" s="370"/>
      <c r="R5" s="370"/>
      <c r="S5" s="372" t="s">
        <v>509</v>
      </c>
    </row>
    <row r="6" spans="1:20" ht="25.5" x14ac:dyDescent="0.35">
      <c r="A6" s="363">
        <v>3</v>
      </c>
      <c r="B6" s="364" t="s">
        <v>506</v>
      </c>
      <c r="C6" s="365" t="s">
        <v>508</v>
      </c>
      <c r="D6" s="372"/>
      <c r="E6" s="373">
        <v>0.66</v>
      </c>
      <c r="F6" s="373">
        <v>0.34</v>
      </c>
      <c r="G6" s="372" t="s">
        <v>510</v>
      </c>
      <c r="H6" s="368">
        <v>42262</v>
      </c>
      <c r="I6" s="368">
        <v>42273</v>
      </c>
      <c r="J6" s="370"/>
      <c r="K6" s="370"/>
      <c r="L6" s="370"/>
      <c r="M6" s="370"/>
      <c r="N6" s="370"/>
      <c r="O6" s="370"/>
      <c r="P6" s="370"/>
      <c r="Q6" s="370"/>
      <c r="R6" s="370"/>
      <c r="S6" s="372" t="s">
        <v>507</v>
      </c>
    </row>
    <row r="7" spans="1:20" x14ac:dyDescent="0.35">
      <c r="A7" s="363"/>
      <c r="B7" s="363"/>
      <c r="C7" s="374"/>
      <c r="D7" s="363"/>
      <c r="E7" s="373"/>
      <c r="F7" s="373"/>
      <c r="G7" s="363"/>
      <c r="H7" s="368"/>
      <c r="I7" s="368"/>
      <c r="J7" s="370"/>
      <c r="K7" s="370"/>
      <c r="L7" s="370"/>
      <c r="M7" s="370"/>
      <c r="N7" s="370"/>
      <c r="O7" s="370"/>
      <c r="P7" s="370"/>
      <c r="Q7" s="370"/>
      <c r="R7" s="370"/>
      <c r="S7" s="363"/>
    </row>
    <row r="8" spans="1:20" x14ac:dyDescent="0.35">
      <c r="A8" s="363"/>
      <c r="B8" s="363"/>
      <c r="C8" s="374"/>
      <c r="D8" s="363"/>
      <c r="E8" s="373"/>
      <c r="F8" s="373"/>
      <c r="G8" s="363"/>
      <c r="H8" s="368"/>
      <c r="I8" s="368"/>
      <c r="J8" s="370"/>
      <c r="K8" s="370"/>
      <c r="L8" s="370"/>
      <c r="M8" s="370"/>
      <c r="N8" s="370"/>
      <c r="O8" s="370"/>
      <c r="P8" s="370"/>
      <c r="Q8" s="370"/>
      <c r="R8" s="370"/>
      <c r="S8" s="363"/>
    </row>
    <row r="9" spans="1:20" x14ac:dyDescent="0.35">
      <c r="A9" s="363"/>
      <c r="B9" s="363"/>
      <c r="C9" s="374"/>
      <c r="D9" s="363"/>
      <c r="E9" s="373"/>
      <c r="F9" s="373"/>
      <c r="G9" s="363"/>
      <c r="H9" s="368"/>
      <c r="I9" s="368"/>
      <c r="J9" s="370"/>
      <c r="K9" s="370"/>
      <c r="L9" s="370"/>
      <c r="M9" s="370"/>
      <c r="N9" s="370"/>
      <c r="O9" s="370"/>
      <c r="P9" s="370"/>
      <c r="Q9" s="370"/>
      <c r="R9" s="370"/>
      <c r="S9" s="363"/>
    </row>
    <row r="10" spans="1:20" x14ac:dyDescent="0.35">
      <c r="A10" s="363"/>
      <c r="B10" s="363"/>
      <c r="C10" s="374"/>
      <c r="D10" s="363"/>
      <c r="E10" s="373"/>
      <c r="F10" s="373"/>
      <c r="G10" s="363"/>
      <c r="H10" s="368"/>
      <c r="I10" s="368"/>
      <c r="J10" s="370"/>
      <c r="K10" s="370"/>
      <c r="L10" s="370"/>
      <c r="M10" s="370"/>
      <c r="N10" s="370"/>
      <c r="O10" s="370"/>
      <c r="P10" s="370"/>
      <c r="Q10" s="370"/>
      <c r="R10" s="370"/>
      <c r="S10" s="363"/>
    </row>
    <row r="11" spans="1:20" x14ac:dyDescent="0.35">
      <c r="A11" s="363"/>
      <c r="B11" s="363"/>
      <c r="C11" s="374"/>
      <c r="D11" s="363"/>
      <c r="E11" s="373"/>
      <c r="F11" s="373"/>
      <c r="G11" s="363"/>
      <c r="H11" s="368"/>
      <c r="I11" s="368"/>
      <c r="J11" s="370"/>
      <c r="K11" s="370"/>
      <c r="L11" s="370"/>
      <c r="M11" s="370"/>
      <c r="N11" s="370"/>
      <c r="O11" s="370"/>
      <c r="P11" s="370"/>
      <c r="Q11" s="370"/>
      <c r="R11" s="370"/>
      <c r="S11" s="363"/>
    </row>
    <row r="12" spans="1:20" x14ac:dyDescent="0.35">
      <c r="A12" s="363"/>
      <c r="B12" s="363"/>
      <c r="C12" s="374"/>
      <c r="D12" s="363"/>
      <c r="E12" s="373"/>
      <c r="F12" s="373"/>
      <c r="G12" s="363"/>
      <c r="H12" s="368"/>
      <c r="I12" s="368"/>
      <c r="J12" s="370"/>
      <c r="K12" s="370"/>
      <c r="L12" s="370"/>
      <c r="M12" s="370"/>
      <c r="N12" s="370"/>
      <c r="O12" s="370"/>
      <c r="P12" s="370"/>
      <c r="Q12" s="370"/>
      <c r="R12" s="370"/>
      <c r="S12" s="363"/>
    </row>
    <row r="13" spans="1:20" x14ac:dyDescent="0.35">
      <c r="A13" s="363"/>
      <c r="B13" s="363"/>
      <c r="C13" s="374"/>
      <c r="D13" s="363"/>
      <c r="E13" s="373"/>
      <c r="F13" s="373"/>
      <c r="G13" s="363"/>
      <c r="H13" s="368"/>
      <c r="I13" s="368"/>
      <c r="J13" s="370"/>
      <c r="K13" s="370"/>
      <c r="L13" s="370"/>
      <c r="M13" s="370"/>
      <c r="N13" s="370"/>
      <c r="O13" s="370"/>
      <c r="P13" s="370"/>
      <c r="Q13" s="370"/>
      <c r="R13" s="370"/>
      <c r="S13" s="363"/>
    </row>
    <row r="14" spans="1:20" x14ac:dyDescent="0.35">
      <c r="A14" s="363"/>
      <c r="B14" s="363"/>
      <c r="C14" s="374"/>
      <c r="D14" s="363"/>
      <c r="E14" s="373"/>
      <c r="F14" s="373"/>
      <c r="G14" s="363"/>
      <c r="H14" s="368"/>
      <c r="I14" s="368"/>
      <c r="J14" s="370"/>
      <c r="K14" s="370"/>
      <c r="L14" s="370"/>
      <c r="M14" s="370"/>
      <c r="N14" s="370"/>
      <c r="O14" s="370"/>
      <c r="P14" s="370"/>
      <c r="Q14" s="370"/>
      <c r="R14" s="370"/>
      <c r="S14" s="363"/>
    </row>
    <row r="15" spans="1:20" x14ac:dyDescent="0.35">
      <c r="A15" s="363"/>
      <c r="B15" s="363"/>
      <c r="C15" s="374"/>
      <c r="D15" s="363"/>
      <c r="E15" s="373"/>
      <c r="F15" s="373"/>
      <c r="G15" s="363"/>
      <c r="H15" s="368"/>
      <c r="I15" s="368"/>
      <c r="J15" s="370"/>
      <c r="K15" s="370"/>
      <c r="L15" s="370"/>
      <c r="M15" s="370"/>
      <c r="N15" s="370"/>
      <c r="O15" s="370"/>
      <c r="P15" s="370"/>
      <c r="Q15" s="370"/>
      <c r="R15" s="370"/>
      <c r="S15" s="363"/>
    </row>
    <row r="16" spans="1:20" x14ac:dyDescent="0.35">
      <c r="A16" s="363"/>
      <c r="B16" s="363"/>
      <c r="C16" s="374"/>
      <c r="D16" s="363"/>
      <c r="E16" s="373"/>
      <c r="F16" s="373"/>
      <c r="G16" s="363"/>
      <c r="H16" s="368"/>
      <c r="I16" s="368"/>
      <c r="J16" s="370"/>
      <c r="K16" s="370"/>
      <c r="L16" s="370"/>
      <c r="M16" s="370"/>
      <c r="N16" s="370"/>
      <c r="O16" s="370"/>
      <c r="P16" s="370"/>
      <c r="Q16" s="370"/>
      <c r="R16" s="370"/>
      <c r="S16" s="363"/>
    </row>
    <row r="21" spans="14:14" x14ac:dyDescent="0.35">
      <c r="N21" s="375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8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74"/>
  <sheetViews>
    <sheetView showGridLines="0" topLeftCell="A46" workbookViewId="0">
      <selection activeCell="B69" sqref="B69:D69"/>
    </sheetView>
  </sheetViews>
  <sheetFormatPr defaultRowHeight="12.75" x14ac:dyDescent="0.35"/>
  <cols>
    <col min="1" max="1" width="4.265625" style="8" customWidth="1"/>
    <col min="2" max="2" width="40.3984375" style="2" customWidth="1"/>
    <col min="3" max="3" width="24.265625" customWidth="1"/>
    <col min="4" max="4" width="27.86328125" customWidth="1"/>
  </cols>
  <sheetData>
    <row r="1" spans="1:4" ht="17.649999999999999" x14ac:dyDescent="0.5">
      <c r="A1" s="16"/>
      <c r="B1" s="17" t="s">
        <v>0</v>
      </c>
      <c r="C1" s="17"/>
      <c r="D1" s="17"/>
    </row>
    <row r="3" spans="1:4" ht="13.15" x14ac:dyDescent="0.4">
      <c r="A3" s="11" t="s">
        <v>18</v>
      </c>
    </row>
    <row r="4" spans="1:4" ht="13.15" x14ac:dyDescent="0.4">
      <c r="A4" s="8" t="s">
        <v>12</v>
      </c>
      <c r="B4" s="10" t="s">
        <v>11</v>
      </c>
    </row>
    <row r="5" spans="1:4" x14ac:dyDescent="0.35">
      <c r="B5" s="1" t="s">
        <v>31</v>
      </c>
      <c r="C5" s="20" t="s">
        <v>126</v>
      </c>
    </row>
    <row r="6" spans="1:4" x14ac:dyDescent="0.35">
      <c r="B6" s="1" t="s">
        <v>30</v>
      </c>
      <c r="C6" s="20" t="s">
        <v>127</v>
      </c>
    </row>
    <row r="7" spans="1:4" x14ac:dyDescent="0.35">
      <c r="B7" s="1" t="s">
        <v>29</v>
      </c>
      <c r="C7" s="20" t="s">
        <v>129</v>
      </c>
    </row>
    <row r="8" spans="1:4" x14ac:dyDescent="0.35">
      <c r="B8" s="1" t="s">
        <v>1</v>
      </c>
      <c r="C8" s="20" t="s">
        <v>128</v>
      </c>
    </row>
    <row r="9" spans="1:4" ht="13.15" x14ac:dyDescent="0.4">
      <c r="A9" s="8" t="s">
        <v>13</v>
      </c>
      <c r="B9" s="10" t="s">
        <v>16</v>
      </c>
      <c r="C9" t="s">
        <v>33</v>
      </c>
    </row>
    <row r="10" spans="1:4" ht="13.15" x14ac:dyDescent="0.4">
      <c r="B10" s="10"/>
      <c r="C10" t="s">
        <v>34</v>
      </c>
    </row>
    <row r="11" spans="1:4" ht="13.15" x14ac:dyDescent="0.4">
      <c r="B11" s="10"/>
      <c r="C11" s="20" t="s">
        <v>35</v>
      </c>
    </row>
    <row r="13" spans="1:4" ht="13.15" x14ac:dyDescent="0.4">
      <c r="A13" s="8" t="s">
        <v>14</v>
      </c>
      <c r="B13" s="15" t="s">
        <v>15</v>
      </c>
      <c r="C13" s="26">
        <v>40567</v>
      </c>
    </row>
    <row r="15" spans="1:4" ht="13.15" x14ac:dyDescent="0.4">
      <c r="A15" s="10" t="s">
        <v>17</v>
      </c>
    </row>
    <row r="16" spans="1:4" ht="10.5" customHeight="1" x14ac:dyDescent="0.4">
      <c r="A16" s="10"/>
    </row>
    <row r="17" spans="1:4" ht="10.5" customHeight="1" x14ac:dyDescent="0.35">
      <c r="A17" s="9" t="s">
        <v>12</v>
      </c>
      <c r="B17" s="450" t="s">
        <v>26</v>
      </c>
      <c r="C17" s="451"/>
      <c r="D17" s="451"/>
    </row>
    <row r="18" spans="1:4" ht="44.25" customHeight="1" x14ac:dyDescent="0.35">
      <c r="A18" s="9"/>
      <c r="B18" s="451"/>
      <c r="C18" s="451"/>
      <c r="D18" s="451"/>
    </row>
    <row r="19" spans="1:4" ht="10.5" customHeight="1" x14ac:dyDescent="0.35">
      <c r="A19" s="9"/>
      <c r="B19" s="12"/>
      <c r="C19" s="12"/>
      <c r="D19" s="12"/>
    </row>
    <row r="20" spans="1:4" s="3" customFormat="1" ht="25.5" customHeight="1" x14ac:dyDescent="0.4">
      <c r="A20" s="9" t="s">
        <v>24</v>
      </c>
      <c r="B20" s="4" t="s">
        <v>28</v>
      </c>
      <c r="C20" s="4" t="s">
        <v>4</v>
      </c>
      <c r="D20" s="4" t="s">
        <v>6</v>
      </c>
    </row>
    <row r="21" spans="1:4" x14ac:dyDescent="0.35">
      <c r="A21" s="13"/>
      <c r="B21" s="5" t="s">
        <v>2</v>
      </c>
      <c r="C21" s="27">
        <v>250000</v>
      </c>
      <c r="D21" s="6"/>
    </row>
    <row r="22" spans="1:4" x14ac:dyDescent="0.35">
      <c r="A22" s="13"/>
      <c r="B22" s="6" t="s">
        <v>3</v>
      </c>
      <c r="C22" s="27">
        <v>500000</v>
      </c>
      <c r="D22" s="6"/>
    </row>
    <row r="23" spans="1:4" x14ac:dyDescent="0.35">
      <c r="A23" s="13"/>
      <c r="B23" s="45" t="s">
        <v>314</v>
      </c>
      <c r="C23" s="46">
        <v>2000</v>
      </c>
      <c r="D23" s="6"/>
    </row>
    <row r="24" spans="1:4" x14ac:dyDescent="0.35">
      <c r="A24" s="13"/>
      <c r="B24" s="7"/>
      <c r="C24" s="27"/>
      <c r="D24" s="6"/>
    </row>
    <row r="25" spans="1:4" ht="13.15" x14ac:dyDescent="0.4">
      <c r="A25" s="13"/>
      <c r="B25" s="4"/>
      <c r="C25" s="4"/>
      <c r="D25" s="4"/>
    </row>
    <row r="26" spans="1:4" ht="26.25" x14ac:dyDescent="0.4">
      <c r="A26" s="9" t="s">
        <v>25</v>
      </c>
      <c r="B26" s="4" t="s">
        <v>5</v>
      </c>
      <c r="C26" s="4" t="s">
        <v>32</v>
      </c>
      <c r="D26" s="4" t="s">
        <v>6</v>
      </c>
    </row>
    <row r="27" spans="1:4" ht="13.15" x14ac:dyDescent="0.4">
      <c r="A27" s="13"/>
      <c r="B27" s="5" t="s">
        <v>7</v>
      </c>
      <c r="C27" s="28" t="s">
        <v>130</v>
      </c>
      <c r="D27" s="6"/>
    </row>
    <row r="28" spans="1:4" x14ac:dyDescent="0.35">
      <c r="A28" s="13"/>
      <c r="B28" s="6" t="s">
        <v>8</v>
      </c>
      <c r="C28" s="28" t="s">
        <v>131</v>
      </c>
      <c r="D28" s="6"/>
    </row>
    <row r="29" spans="1:4" x14ac:dyDescent="0.35">
      <c r="A29" s="13"/>
      <c r="B29" s="6" t="s">
        <v>27</v>
      </c>
      <c r="C29" s="28" t="s">
        <v>132</v>
      </c>
      <c r="D29" s="6"/>
    </row>
    <row r="30" spans="1:4" ht="13.15" x14ac:dyDescent="0.4">
      <c r="A30" s="13"/>
      <c r="B30" s="6" t="s">
        <v>9</v>
      </c>
      <c r="C30" s="28" t="s">
        <v>133</v>
      </c>
      <c r="D30" s="6"/>
    </row>
    <row r="31" spans="1:4" x14ac:dyDescent="0.35">
      <c r="A31" s="13"/>
      <c r="B31" s="6" t="s">
        <v>10</v>
      </c>
      <c r="C31" s="28" t="s">
        <v>134</v>
      </c>
      <c r="D31" s="6"/>
    </row>
    <row r="32" spans="1:4" x14ac:dyDescent="0.35">
      <c r="A32" s="13"/>
      <c r="B32" s="28" t="s">
        <v>136</v>
      </c>
      <c r="C32" s="28" t="s">
        <v>135</v>
      </c>
      <c r="D32" s="6"/>
    </row>
    <row r="33" spans="1:5" x14ac:dyDescent="0.35">
      <c r="A33" s="13"/>
      <c r="B33" s="7"/>
      <c r="C33" s="6"/>
      <c r="D33" s="6"/>
    </row>
    <row r="34" spans="1:5" x14ac:dyDescent="0.35">
      <c r="A34" s="13"/>
    </row>
    <row r="35" spans="1:5" x14ac:dyDescent="0.35">
      <c r="A35" s="13" t="s">
        <v>13</v>
      </c>
      <c r="B35" s="450" t="s">
        <v>137</v>
      </c>
      <c r="C35" s="451"/>
      <c r="D35" s="451"/>
    </row>
    <row r="36" spans="1:5" x14ac:dyDescent="0.35">
      <c r="A36" s="13"/>
      <c r="B36" s="451"/>
      <c r="C36" s="451"/>
      <c r="D36" s="451"/>
    </row>
    <row r="37" spans="1:5" x14ac:dyDescent="0.35">
      <c r="A37" s="13"/>
    </row>
    <row r="38" spans="1:5" x14ac:dyDescent="0.35">
      <c r="A38" s="13" t="s">
        <v>14</v>
      </c>
      <c r="B38" s="450" t="s">
        <v>19</v>
      </c>
      <c r="C38" s="451"/>
      <c r="D38" s="451"/>
    </row>
    <row r="39" spans="1:5" x14ac:dyDescent="0.35">
      <c r="A39" s="13"/>
      <c r="B39" s="451"/>
      <c r="C39" s="451"/>
      <c r="D39" s="451"/>
    </row>
    <row r="40" spans="1:5" x14ac:dyDescent="0.35">
      <c r="A40" s="13"/>
    </row>
    <row r="41" spans="1:5" ht="18.75" customHeight="1" x14ac:dyDescent="0.35">
      <c r="A41" s="13" t="s">
        <v>23</v>
      </c>
      <c r="B41" s="452" t="s">
        <v>20</v>
      </c>
      <c r="C41" s="452"/>
      <c r="D41" s="452"/>
    </row>
    <row r="42" spans="1:5" ht="12" customHeight="1" x14ac:dyDescent="0.4">
      <c r="A42" s="13"/>
      <c r="B42" s="18"/>
      <c r="C42" s="18"/>
      <c r="D42" s="18"/>
    </row>
    <row r="43" spans="1:5" ht="30" customHeight="1" x14ac:dyDescent="0.35">
      <c r="A43" s="13" t="s">
        <v>22</v>
      </c>
      <c r="B43" s="450" t="s">
        <v>138</v>
      </c>
      <c r="C43" s="450"/>
      <c r="D43" s="450"/>
    </row>
    <row r="44" spans="1:5" x14ac:dyDescent="0.35">
      <c r="A44" s="13"/>
    </row>
    <row r="45" spans="1:5" ht="19.5" customHeight="1" x14ac:dyDescent="0.35">
      <c r="A45" s="13" t="s">
        <v>21</v>
      </c>
      <c r="B45" s="450" t="s">
        <v>50</v>
      </c>
      <c r="C45" s="450"/>
      <c r="D45" s="450"/>
      <c r="E45" s="19"/>
    </row>
    <row r="46" spans="1:5" x14ac:dyDescent="0.35">
      <c r="A46" s="13"/>
    </row>
    <row r="47" spans="1:5" ht="13.15" x14ac:dyDescent="0.4">
      <c r="A47" s="10" t="s">
        <v>36</v>
      </c>
    </row>
    <row r="49" spans="1:4" x14ac:dyDescent="0.35">
      <c r="A49" s="9" t="s">
        <v>12</v>
      </c>
      <c r="B49" s="450" t="s">
        <v>37</v>
      </c>
      <c r="C49" s="451"/>
      <c r="D49" s="451"/>
    </row>
    <row r="50" spans="1:4" x14ac:dyDescent="0.35">
      <c r="B50" s="451"/>
      <c r="C50" s="451"/>
      <c r="D50" s="451"/>
    </row>
    <row r="52" spans="1:4" s="3" customFormat="1" ht="25.5" customHeight="1" x14ac:dyDescent="0.4">
      <c r="A52" s="9" t="s">
        <v>24</v>
      </c>
      <c r="B52" s="4" t="s">
        <v>28</v>
      </c>
      <c r="C52" s="4" t="s">
        <v>4</v>
      </c>
      <c r="D52" s="4" t="s">
        <v>6</v>
      </c>
    </row>
    <row r="53" spans="1:4" x14ac:dyDescent="0.35">
      <c r="A53" s="13"/>
      <c r="B53" s="5" t="s">
        <v>38</v>
      </c>
      <c r="C53" s="29">
        <v>100000</v>
      </c>
      <c r="D53" s="6"/>
    </row>
    <row r="54" spans="1:4" x14ac:dyDescent="0.35">
      <c r="A54" s="13"/>
      <c r="B54" s="6" t="s">
        <v>39</v>
      </c>
      <c r="C54" s="29">
        <v>50000</v>
      </c>
      <c r="D54" s="6"/>
    </row>
    <row r="55" spans="1:4" x14ac:dyDescent="0.35">
      <c r="A55" s="13"/>
      <c r="B55" s="21" t="s">
        <v>142</v>
      </c>
      <c r="C55" s="30" t="s">
        <v>139</v>
      </c>
      <c r="D55" s="6"/>
    </row>
    <row r="56" spans="1:4" ht="13.15" x14ac:dyDescent="0.4">
      <c r="A56" s="13"/>
      <c r="B56" s="7"/>
      <c r="C56" s="22"/>
      <c r="D56" s="22"/>
    </row>
    <row r="57" spans="1:4" ht="13.15" x14ac:dyDescent="0.4">
      <c r="A57" s="13"/>
      <c r="B57" s="14"/>
      <c r="C57" s="4"/>
      <c r="D57" s="4"/>
    </row>
    <row r="58" spans="1:4" ht="26.25" x14ac:dyDescent="0.4">
      <c r="A58" s="9" t="s">
        <v>25</v>
      </c>
      <c r="B58" s="4" t="s">
        <v>5</v>
      </c>
      <c r="C58" s="4" t="s">
        <v>32</v>
      </c>
      <c r="D58" s="4" t="s">
        <v>6</v>
      </c>
    </row>
    <row r="59" spans="1:4" x14ac:dyDescent="0.35">
      <c r="A59" s="13"/>
      <c r="B59" s="5" t="s">
        <v>46</v>
      </c>
      <c r="C59" s="28" t="s">
        <v>140</v>
      </c>
      <c r="D59" s="6"/>
    </row>
    <row r="60" spans="1:4" x14ac:dyDescent="0.35">
      <c r="A60" s="13"/>
      <c r="B60" s="28" t="s">
        <v>143</v>
      </c>
      <c r="C60" s="28" t="s">
        <v>141</v>
      </c>
      <c r="D60" s="6"/>
    </row>
    <row r="61" spans="1:4" x14ac:dyDescent="0.35">
      <c r="A61" s="13"/>
      <c r="B61" s="28" t="s">
        <v>142</v>
      </c>
      <c r="C61" s="28" t="s">
        <v>141</v>
      </c>
      <c r="D61" s="6"/>
    </row>
    <row r="62" spans="1:4" x14ac:dyDescent="0.35">
      <c r="A62" s="13"/>
      <c r="B62" s="6" t="s">
        <v>47</v>
      </c>
      <c r="C62" s="28" t="s">
        <v>141</v>
      </c>
      <c r="D62" s="6"/>
    </row>
    <row r="63" spans="1:4" x14ac:dyDescent="0.35">
      <c r="A63" s="13"/>
      <c r="B63" s="6" t="s">
        <v>48</v>
      </c>
      <c r="C63" s="28" t="s">
        <v>141</v>
      </c>
      <c r="D63" s="6"/>
    </row>
    <row r="64" spans="1:4" x14ac:dyDescent="0.35">
      <c r="A64" s="13"/>
      <c r="B64" s="7"/>
      <c r="C64" s="6"/>
      <c r="D64" s="6"/>
    </row>
    <row r="66" spans="1:4" ht="42" customHeight="1" x14ac:dyDescent="0.35">
      <c r="A66" s="13" t="s">
        <v>13</v>
      </c>
      <c r="B66" s="450" t="s">
        <v>712</v>
      </c>
      <c r="C66" s="451"/>
      <c r="D66" s="451"/>
    </row>
    <row r="67" spans="1:4" x14ac:dyDescent="0.35">
      <c r="B67" t="s">
        <v>53</v>
      </c>
      <c r="C67" s="24" t="s">
        <v>52</v>
      </c>
    </row>
    <row r="68" spans="1:4" x14ac:dyDescent="0.35">
      <c r="B68" s="23"/>
    </row>
    <row r="69" spans="1:4" ht="30.75" customHeight="1" x14ac:dyDescent="0.35">
      <c r="A69" s="13" t="s">
        <v>14</v>
      </c>
      <c r="B69" s="450" t="s">
        <v>713</v>
      </c>
      <c r="C69" s="451"/>
      <c r="D69" s="451"/>
    </row>
    <row r="71" spans="1:4" ht="24.75" customHeight="1" x14ac:dyDescent="0.35">
      <c r="A71" s="13" t="s">
        <v>23</v>
      </c>
      <c r="B71" s="450" t="s">
        <v>49</v>
      </c>
      <c r="C71" s="451"/>
      <c r="D71" s="451"/>
    </row>
    <row r="73" spans="1:4" ht="42.75" customHeight="1" x14ac:dyDescent="0.35">
      <c r="A73" s="450" t="s">
        <v>51</v>
      </c>
      <c r="B73" s="450"/>
      <c r="C73" s="450"/>
      <c r="D73" s="450"/>
    </row>
    <row r="74" spans="1:4" ht="13.15" x14ac:dyDescent="0.35">
      <c r="B74" s="450"/>
      <c r="C74" s="451"/>
      <c r="D74" s="451"/>
    </row>
  </sheetData>
  <mergeCells count="12">
    <mergeCell ref="B69:D69"/>
    <mergeCell ref="B74:D74"/>
    <mergeCell ref="B71:D71"/>
    <mergeCell ref="A73:D73"/>
    <mergeCell ref="B17:D18"/>
    <mergeCell ref="B41:D41"/>
    <mergeCell ref="B49:D50"/>
    <mergeCell ref="B66:D66"/>
    <mergeCell ref="B45:D45"/>
    <mergeCell ref="B43:D43"/>
    <mergeCell ref="B35:D36"/>
    <mergeCell ref="B38:D39"/>
  </mergeCells>
  <phoneticPr fontId="6" type="noConversion"/>
  <hyperlinks>
    <hyperlink ref="C67" r:id="rId1" xr:uid="{00000000-0004-0000-0100-000000000000}"/>
  </hyperlinks>
  <pageMargins left="0.75" right="0.75" top="1" bottom="1" header="0.5" footer="0.5"/>
  <pageSetup scale="94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autoPageBreaks="0" fitToPage="1"/>
  </sheetPr>
  <dimension ref="A1:I14"/>
  <sheetViews>
    <sheetView showGridLines="0" showZeros="0" topLeftCell="A4" zoomScale="115" zoomScaleNormal="115" workbookViewId="0">
      <pane ySplit="1" topLeftCell="A5" activePane="bottomLeft" state="frozen"/>
      <selection activeCell="B121" sqref="B121:K121"/>
      <selection pane="bottomLeft" activeCell="F9" sqref="F9"/>
    </sheetView>
  </sheetViews>
  <sheetFormatPr defaultColWidth="9.1328125" defaultRowHeight="13.15" x14ac:dyDescent="0.4"/>
  <cols>
    <col min="1" max="1" width="23.3984375" style="59" bestFit="1" customWidth="1"/>
    <col min="2" max="2" width="15.73046875" style="59" bestFit="1" customWidth="1"/>
    <col min="3" max="6" width="15.73046875" style="63" bestFit="1" customWidth="1"/>
    <col min="7" max="7" width="15.73046875" style="63" customWidth="1"/>
    <col min="8" max="8" width="15.73046875" style="48" bestFit="1" customWidth="1"/>
    <col min="9" max="9" width="14.3984375" style="48" customWidth="1"/>
    <col min="10" max="16384" width="9.1328125" style="48"/>
  </cols>
  <sheetData>
    <row r="1" spans="1:9" ht="17.25" x14ac:dyDescent="0.45">
      <c r="C1" s="49"/>
      <c r="D1" s="49"/>
      <c r="E1" s="49"/>
      <c r="F1" s="49"/>
      <c r="G1" s="49"/>
      <c r="H1" s="49"/>
      <c r="I1" s="49"/>
    </row>
    <row r="2" spans="1:9" x14ac:dyDescent="0.4">
      <c r="C2" s="57"/>
      <c r="D2" s="57"/>
      <c r="E2" s="57"/>
      <c r="F2" s="57"/>
      <c r="G2" s="57"/>
      <c r="H2" s="53"/>
      <c r="I2" s="53"/>
    </row>
    <row r="3" spans="1:9" ht="13.5" thickBot="1" x14ac:dyDescent="0.45"/>
    <row r="4" spans="1:9" s="58" customFormat="1" ht="81" customHeight="1" thickBot="1" x14ac:dyDescent="0.4">
      <c r="A4" s="81" t="s">
        <v>407</v>
      </c>
      <c r="B4" s="82" t="s">
        <v>400</v>
      </c>
      <c r="C4" s="88" t="s">
        <v>401</v>
      </c>
      <c r="D4" s="88" t="s">
        <v>402</v>
      </c>
      <c r="E4" s="88" t="s">
        <v>403</v>
      </c>
      <c r="F4" s="88" t="s">
        <v>404</v>
      </c>
      <c r="G4" s="82" t="s">
        <v>480</v>
      </c>
      <c r="H4" s="82" t="s">
        <v>406</v>
      </c>
      <c r="I4" s="89" t="s">
        <v>405</v>
      </c>
    </row>
    <row r="5" spans="1:9" s="59" customFormat="1" thickTop="1" x14ac:dyDescent="0.35">
      <c r="A5" s="104" t="s">
        <v>399</v>
      </c>
      <c r="B5" s="105">
        <f>'Detailed Summary'!G8+'Detailed Summary'!G11+'Detailed Summary'!G14+'Detailed Summary'!G17+'Detailed Summary'!G20+'Detailed Summary'!G22+'Detailed Summary'!G24+'Detailed Summary'!G29+'Detailed Summary'!G30+'Detailed Summary'!G33</f>
        <v>0</v>
      </c>
      <c r="C5" s="105"/>
      <c r="D5" s="105">
        <f t="shared" ref="D5:D10" si="0">B5-C5</f>
        <v>0</v>
      </c>
      <c r="E5" s="105"/>
      <c r="F5" s="105"/>
      <c r="G5" s="105">
        <f t="shared" ref="G5:G10" si="1">H5+I5</f>
        <v>0</v>
      </c>
      <c r="H5" s="105">
        <f>'Detailed Summary'!R6+'Detailed Summary'!R9+'Detailed Summary'!R12+'Detailed Summary'!R15+'Detailed Summary'!R18+'Detailed Summary'!R21+'Detailed Summary'!R24+'Detailed Summary'!R27+'Detailed Summary'!R30+'Detailed Summary'!R33</f>
        <v>0</v>
      </c>
      <c r="I5" s="106">
        <f>'Detailed Summary'!S6+'Detailed Summary'!S9+'Detailed Summary'!S12++'Detailed Summary'!S15+'Detailed Summary'!S18+'Detailed Summary'!S21+'Detailed Summary'!S24+'Detailed Summary'!S27+'Detailed Summary'!S30+'Detailed Summary'!S33</f>
        <v>0</v>
      </c>
    </row>
    <row r="6" spans="1:9" s="59" customFormat="1" ht="12.75" x14ac:dyDescent="0.35">
      <c r="A6" s="103" t="s">
        <v>479</v>
      </c>
      <c r="B6" s="70">
        <f>'Detailed Summary'!G38+'Detailed Summary'!G41+'Detailed Summary'!G42</f>
        <v>0</v>
      </c>
      <c r="C6" s="70">
        <f>'Goods and WorksPP'!Z40+'Goods and WorksPP'!Z43</f>
        <v>0</v>
      </c>
      <c r="D6" s="70">
        <f t="shared" si="0"/>
        <v>0</v>
      </c>
      <c r="E6" s="70">
        <f>'Goods and WorksPP'!AC40+'Goods and WorksPP'!AC43</f>
        <v>0</v>
      </c>
      <c r="F6" s="70">
        <f>'Goods and WorksPP'!AD40+'Goods and WorksPP'!AD43</f>
        <v>0</v>
      </c>
      <c r="G6" s="70">
        <f t="shared" si="1"/>
        <v>0</v>
      </c>
      <c r="H6" s="70">
        <f>'Detailed Summary'!R36+'Detailed Summary'!R39</f>
        <v>0</v>
      </c>
      <c r="I6" s="71">
        <f>'Detailed Summary'!S39</f>
        <v>0</v>
      </c>
    </row>
    <row r="7" spans="1:9" s="59" customFormat="1" ht="12.75" x14ac:dyDescent="0.35">
      <c r="A7" s="103" t="s">
        <v>380</v>
      </c>
      <c r="B7" s="70">
        <f>'Detailed Summary'!G64+'Detailed Summary'!G65+'Detailed Summary'!G69+'Detailed Summary'!G73+'Detailed Summary'!G74+'Detailed Summary'!G77+'Detailed Summary'!G82+'Detailed Summary'!G88</f>
        <v>0</v>
      </c>
      <c r="C7" s="70">
        <f>'Consulting ServicesPP'!AB6+'Consulting ServicesPP'!AB9+'Consulting ServicesPP'!AB12+'Consulting ServicesPP'!AB15+'Consulting ServicesPP'!AB19+'Consulting ServicesPP'!AB22+'Consulting ServicesPP'!AB25+'Consulting ServicesPP'!AB31</f>
        <v>0</v>
      </c>
      <c r="D7" s="70">
        <f t="shared" si="0"/>
        <v>0</v>
      </c>
      <c r="E7" s="70">
        <f>'Consulting ServicesPP'!AC6+'Consulting ServicesPP'!AC9+'Consulting ServicesPP'!AC12+'Consulting ServicesPP'!AC15+'Consulting ServicesPP'!AC19+'Consulting ServicesPP'!AC22+'Consulting ServicesPP'!AC25+'Consulting ServicesPP'!AC31</f>
        <v>0</v>
      </c>
      <c r="F7" s="70">
        <f>'Consulting ServicesPP'!AD6+'Consulting ServicesPP'!AD9+'Consulting ServicesPP'!AD12+'Consulting ServicesPP'!AD15+'Consulting ServicesPP'!AD19+'Consulting ServicesPP'!AD22+'Consulting ServicesPP'!AD25+'Consulting ServicesPP'!AD31</f>
        <v>0</v>
      </c>
      <c r="G7" s="70">
        <f t="shared" si="1"/>
        <v>0</v>
      </c>
      <c r="H7" s="70">
        <f>'Detailed Summary'!R104</f>
        <v>0</v>
      </c>
      <c r="I7" s="71">
        <f>'Detailed Summary'!S104</f>
        <v>0</v>
      </c>
    </row>
    <row r="8" spans="1:9" s="59" customFormat="1" ht="12.75" x14ac:dyDescent="0.35">
      <c r="A8" s="103" t="s">
        <v>381</v>
      </c>
      <c r="B8" s="70">
        <f>'Detailed Summary'!G108+'Detailed Summary'!G110+'Detailed Summary'!G112+'Detailed Summary'!G115+'Detailed Summary'!G119+'Detailed Summary'!G121+'Detailed Summary'!G124+'Detailed Summary'!G127+'Detailed Summary'!G130+'Detailed Summary'!G133+'Detailed Summary'!G136+'Detailed Summary'!G139+'Detailed Summary'!G142+'Detailed Summary'!G145</f>
        <v>0</v>
      </c>
      <c r="C8" s="70">
        <f>'Detailed Summary'!M148</f>
        <v>0</v>
      </c>
      <c r="D8" s="70">
        <f t="shared" si="0"/>
        <v>0</v>
      </c>
      <c r="E8" s="70">
        <f>'Detailed Summary'!N148</f>
        <v>0</v>
      </c>
      <c r="F8" s="70">
        <f>'Detailed Summary'!O148</f>
        <v>0</v>
      </c>
      <c r="G8" s="70">
        <f t="shared" si="1"/>
        <v>0</v>
      </c>
      <c r="H8" s="70">
        <f>'Detailed Summary'!R106</f>
        <v>0</v>
      </c>
      <c r="I8" s="71">
        <f>'Detailed Summary'!S148</f>
        <v>0</v>
      </c>
    </row>
    <row r="9" spans="1:9" s="59" customFormat="1" ht="12.75" x14ac:dyDescent="0.35">
      <c r="A9" s="103" t="s">
        <v>379</v>
      </c>
      <c r="B9" s="70"/>
      <c r="C9" s="70"/>
      <c r="D9" s="70">
        <f t="shared" si="0"/>
        <v>0</v>
      </c>
      <c r="E9" s="70"/>
      <c r="F9" s="70"/>
      <c r="G9" s="70">
        <f t="shared" si="1"/>
        <v>0</v>
      </c>
      <c r="H9" s="70">
        <f>'Detailed Summary'!R153</f>
        <v>0</v>
      </c>
      <c r="I9" s="71">
        <f>'Detailed Summary'!S153</f>
        <v>0</v>
      </c>
    </row>
    <row r="10" spans="1:9" s="59" customFormat="1" ht="12.75" x14ac:dyDescent="0.35">
      <c r="A10" s="103" t="s">
        <v>398</v>
      </c>
      <c r="B10" s="70"/>
      <c r="C10" s="70">
        <f>B10</f>
        <v>0</v>
      </c>
      <c r="D10" s="70">
        <f t="shared" si="0"/>
        <v>0</v>
      </c>
      <c r="E10" s="70">
        <f>C10*0.66</f>
        <v>0</v>
      </c>
      <c r="F10" s="70">
        <f>B10*0.34</f>
        <v>0</v>
      </c>
      <c r="G10" s="70">
        <f t="shared" si="1"/>
        <v>0</v>
      </c>
      <c r="H10" s="70">
        <f>'Detailed Summary'!R158</f>
        <v>0</v>
      </c>
      <c r="I10" s="71">
        <f>'Detailed Summary'!S158</f>
        <v>0</v>
      </c>
    </row>
    <row r="11" spans="1:9" x14ac:dyDescent="0.4">
      <c r="A11" s="453"/>
      <c r="B11" s="454"/>
      <c r="C11" s="454"/>
      <c r="D11" s="454"/>
      <c r="E11" s="454"/>
      <c r="F11" s="454"/>
      <c r="G11" s="454"/>
      <c r="H11" s="454"/>
      <c r="I11" s="455"/>
    </row>
    <row r="12" spans="1:9" s="64" customFormat="1" ht="21.75" customHeight="1" thickBot="1" x14ac:dyDescent="0.4">
      <c r="A12" s="401" t="s">
        <v>385</v>
      </c>
      <c r="B12" s="79">
        <f t="shared" ref="B12:I12" si="2">SUM(B5:B10)</f>
        <v>0</v>
      </c>
      <c r="C12" s="79">
        <f t="shared" si="2"/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80">
        <f t="shared" si="2"/>
        <v>0</v>
      </c>
    </row>
    <row r="14" spans="1:9" x14ac:dyDescent="0.4">
      <c r="F14" s="229"/>
    </row>
  </sheetData>
  <mergeCells count="1">
    <mergeCell ref="A11:I11"/>
  </mergeCells>
  <printOptions horizontalCentered="1"/>
  <pageMargins left="0.74803149606299213" right="0.74803149606299213" top="0.43307086614173229" bottom="0.51181102362204722" header="0.11811023622047245" footer="0.19685039370078741"/>
  <pageSetup paperSize="9" fitToHeight="0" orientation="landscape" r:id="rId1"/>
  <headerFooter alignWithMargins="0">
    <oddHeader>&amp;C&amp;"Times New Roman,Bold"&amp;18GRAND SUMMARY PROCUREMENT GBWSP&amp;R&amp;"Times New Roman,Regular"&amp;D</oddHeader>
    <oddFooter>&amp;C&amp;"Times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autoPageBreaks="0" fitToPage="1"/>
  </sheetPr>
  <dimension ref="A1:X163"/>
  <sheetViews>
    <sheetView showGridLines="0" showZeros="0" topLeftCell="G4" zoomScale="98" zoomScaleNormal="98" workbookViewId="0">
      <pane ySplit="1" topLeftCell="A5" activePane="bottomLeft" state="frozen"/>
      <selection activeCell="A4" sqref="A1:XFD1048576"/>
      <selection pane="bottomLeft" activeCell="K65" sqref="K65:K67"/>
    </sheetView>
  </sheetViews>
  <sheetFormatPr defaultColWidth="9.1328125" defaultRowHeight="13.15" x14ac:dyDescent="0.4"/>
  <cols>
    <col min="1" max="1" width="10.59765625" style="59" customWidth="1"/>
    <col min="2" max="2" width="12" style="48" bestFit="1" customWidth="1"/>
    <col min="3" max="3" width="16.86328125" style="48" customWidth="1"/>
    <col min="4" max="4" width="7.265625" style="48" bestFit="1" customWidth="1"/>
    <col min="5" max="5" width="8.265625" style="48" bestFit="1" customWidth="1"/>
    <col min="6" max="6" width="6.265625" style="48" bestFit="1" customWidth="1"/>
    <col min="7" max="7" width="14.1328125" style="60" bestFit="1" customWidth="1"/>
    <col min="8" max="8" width="14.73046875" style="60" bestFit="1" customWidth="1"/>
    <col min="9" max="9" width="13.265625" style="60" bestFit="1" customWidth="1"/>
    <col min="10" max="10" width="17.86328125" style="60" customWidth="1"/>
    <col min="11" max="11" width="17.86328125" style="61" customWidth="1"/>
    <col min="12" max="12" width="8.59765625" style="62" bestFit="1" customWidth="1"/>
    <col min="13" max="13" width="15.73046875" style="63" customWidth="1"/>
    <col min="14" max="14" width="15.3984375" style="63" customWidth="1"/>
    <col min="15" max="15" width="16.1328125" style="63" customWidth="1"/>
    <col min="16" max="16" width="14.73046875" style="63" customWidth="1"/>
    <col min="17" max="17" width="15.3984375" style="48" customWidth="1"/>
    <col min="18" max="18" width="15.73046875" style="48" bestFit="1" customWidth="1"/>
    <col min="19" max="19" width="14.59765625" style="48" customWidth="1"/>
    <col min="20" max="20" width="14.265625" style="48" customWidth="1"/>
    <col min="21" max="22" width="15.3984375" style="48" customWidth="1"/>
    <col min="23" max="24" width="14.73046875" style="48" bestFit="1" customWidth="1"/>
    <col min="25" max="16384" width="9.1328125" style="48"/>
  </cols>
  <sheetData>
    <row r="1" spans="1:24" ht="17.25" x14ac:dyDescent="0.45">
      <c r="B1" s="49"/>
      <c r="C1" s="49"/>
      <c r="D1" s="49"/>
      <c r="E1" s="49"/>
      <c r="F1" s="49"/>
      <c r="G1" s="50"/>
      <c r="H1" s="50"/>
      <c r="I1" s="50"/>
      <c r="J1" s="50"/>
      <c r="K1" s="51"/>
      <c r="L1" s="52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4">
      <c r="B2" s="53"/>
      <c r="C2" s="53"/>
      <c r="D2" s="53"/>
      <c r="E2" s="53"/>
      <c r="F2" s="53"/>
      <c r="G2" s="54"/>
      <c r="H2" s="54"/>
      <c r="I2" s="54"/>
      <c r="J2" s="54"/>
      <c r="K2" s="55"/>
      <c r="L2" s="56"/>
      <c r="M2" s="57"/>
      <c r="N2" s="57"/>
      <c r="O2" s="57"/>
      <c r="P2" s="57"/>
      <c r="Q2" s="53"/>
      <c r="R2" s="53"/>
      <c r="S2" s="53"/>
      <c r="T2" s="53"/>
      <c r="U2" s="53"/>
      <c r="V2" s="53"/>
      <c r="W2" s="53"/>
      <c r="X2" s="53"/>
    </row>
    <row r="3" spans="1:24" ht="13.5" thickBot="1" x14ac:dyDescent="0.45">
      <c r="A3" s="341"/>
      <c r="B3" s="342"/>
      <c r="C3" s="342"/>
      <c r="D3" s="342"/>
      <c r="E3" s="342"/>
      <c r="F3" s="342"/>
      <c r="G3" s="343"/>
      <c r="H3" s="343"/>
      <c r="I3" s="343"/>
      <c r="J3" s="343"/>
      <c r="K3" s="344"/>
      <c r="L3" s="345"/>
      <c r="M3" s="346"/>
      <c r="N3" s="346"/>
      <c r="O3" s="346"/>
      <c r="P3" s="346"/>
      <c r="Q3" s="342"/>
      <c r="R3" s="342"/>
      <c r="S3" s="342"/>
      <c r="T3" s="342"/>
      <c r="U3" s="342"/>
      <c r="V3" s="342"/>
      <c r="W3" s="342"/>
      <c r="X3" s="347"/>
    </row>
    <row r="4" spans="1:24" s="58" customFormat="1" ht="81" customHeight="1" thickBot="1" x14ac:dyDescent="0.4">
      <c r="A4" s="81" t="s">
        <v>386</v>
      </c>
      <c r="B4" s="82" t="s">
        <v>64</v>
      </c>
      <c r="C4" s="82" t="s">
        <v>387</v>
      </c>
      <c r="D4" s="83" t="s">
        <v>351</v>
      </c>
      <c r="E4" s="83" t="s">
        <v>352</v>
      </c>
      <c r="F4" s="84"/>
      <c r="G4" s="85" t="s">
        <v>74</v>
      </c>
      <c r="H4" s="85" t="s">
        <v>388</v>
      </c>
      <c r="I4" s="85" t="s">
        <v>389</v>
      </c>
      <c r="J4" s="85" t="str">
        <f>'Goods and WorksPP'!AG5</f>
        <v>Name, City, and Country of Contractor (incl. Zip Code if US)</v>
      </c>
      <c r="K4" s="86" t="s">
        <v>390</v>
      </c>
      <c r="L4" s="87" t="s">
        <v>91</v>
      </c>
      <c r="M4" s="88" t="s">
        <v>357</v>
      </c>
      <c r="N4" s="88" t="s">
        <v>358</v>
      </c>
      <c r="O4" s="88" t="s">
        <v>359</v>
      </c>
      <c r="P4" s="88" t="s">
        <v>613</v>
      </c>
      <c r="Q4" s="82" t="s">
        <v>365</v>
      </c>
      <c r="R4" s="82" t="s">
        <v>360</v>
      </c>
      <c r="S4" s="82" t="s">
        <v>361</v>
      </c>
      <c r="T4" s="82" t="s">
        <v>616</v>
      </c>
      <c r="U4" s="82" t="s">
        <v>366</v>
      </c>
      <c r="V4" s="82" t="s">
        <v>362</v>
      </c>
      <c r="W4" s="82" t="s">
        <v>363</v>
      </c>
      <c r="X4" s="337" t="s">
        <v>617</v>
      </c>
    </row>
    <row r="5" spans="1:24" s="58" customFormat="1" ht="6" customHeight="1" thickTop="1" x14ac:dyDescent="0.35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9"/>
    </row>
    <row r="6" spans="1:24" ht="12.75" customHeight="1" x14ac:dyDescent="0.4">
      <c r="A6" s="486" t="s">
        <v>371</v>
      </c>
      <c r="B6" s="493" t="str">
        <f>'Goods and WorksPP'!C6</f>
        <v>BWW2-1</v>
      </c>
      <c r="C6" s="461" t="str">
        <f>'Goods and WorksPP'!D6</f>
        <v>Distribution Networks,
Pumping Stations &amp; Reservoirs – Zone A</v>
      </c>
      <c r="D6" s="456">
        <f>'Goods and WorksPP'!G6</f>
        <v>2.5000000000000001E-2</v>
      </c>
      <c r="E6" s="456">
        <f>'Goods and WorksPP'!H6</f>
        <v>0.97499999999999998</v>
      </c>
      <c r="F6" s="65" t="s">
        <v>87</v>
      </c>
      <c r="G6" s="91"/>
      <c r="H6" s="91"/>
      <c r="I6" s="91"/>
      <c r="J6" s="457" t="str">
        <f>'Goods and WorksPP'!AG6</f>
        <v>Cooperativa
Edile
Appennino scarl
ITALY</v>
      </c>
      <c r="K6" s="462">
        <f>'Goods and WorksPP'!Z6</f>
        <v>0</v>
      </c>
      <c r="L6" s="472" t="str">
        <f>'Goods and WorksPP'!AA6</f>
        <v>USD</v>
      </c>
      <c r="M6" s="462"/>
      <c r="N6" s="462"/>
      <c r="O6" s="462"/>
      <c r="P6" s="473"/>
      <c r="Q6" s="462"/>
      <c r="R6" s="462">
        <f>'Goods and WorksPP'!AJ6</f>
        <v>0</v>
      </c>
      <c r="S6" s="462">
        <f>'Goods and WorksPP'!AK6</f>
        <v>0</v>
      </c>
      <c r="T6" s="473"/>
      <c r="U6" s="462">
        <f>'Goods and WorksPP'!AO6</f>
        <v>0</v>
      </c>
      <c r="V6" s="462">
        <f>'Goods and WorksPP'!AP6</f>
        <v>0</v>
      </c>
      <c r="W6" s="462">
        <f>'Goods and WorksPP'!AQ6</f>
        <v>0</v>
      </c>
      <c r="X6" s="460">
        <f>'Goods and WorksPP'!AR6</f>
        <v>0</v>
      </c>
    </row>
    <row r="7" spans="1:24" x14ac:dyDescent="0.4">
      <c r="A7" s="487"/>
      <c r="B7" s="493">
        <f>'Goods and WorksPP'!C7</f>
        <v>0</v>
      </c>
      <c r="C7" s="461">
        <f>'Goods and WorksPP'!D7</f>
        <v>0</v>
      </c>
      <c r="D7" s="456">
        <f>'Goods and WorksPP'!G7</f>
        <v>0</v>
      </c>
      <c r="E7" s="456">
        <f>'Goods and WorksPP'!H7</f>
        <v>0</v>
      </c>
      <c r="F7" s="68" t="s">
        <v>88</v>
      </c>
      <c r="G7" s="92"/>
      <c r="H7" s="92"/>
      <c r="I7" s="92"/>
      <c r="J7" s="458"/>
      <c r="K7" s="462">
        <f>'Goods and WorksPP'!Z7</f>
        <v>0</v>
      </c>
      <c r="L7" s="472">
        <f>'Goods and WorksPP'!AA7</f>
        <v>0</v>
      </c>
      <c r="M7" s="462"/>
      <c r="N7" s="462"/>
      <c r="O7" s="462"/>
      <c r="P7" s="474"/>
      <c r="Q7" s="462"/>
      <c r="R7" s="462">
        <f>'Goods and WorksPP'!AJ7</f>
        <v>0</v>
      </c>
      <c r="S7" s="462">
        <f>'Goods and WorksPP'!AK7</f>
        <v>0</v>
      </c>
      <c r="T7" s="474"/>
      <c r="U7" s="462">
        <f>'Goods and WorksPP'!AO7</f>
        <v>0</v>
      </c>
      <c r="V7" s="462">
        <f>'Goods and WorksPP'!AP7</f>
        <v>0</v>
      </c>
      <c r="W7" s="462">
        <f>'Goods and WorksPP'!AQ7</f>
        <v>0</v>
      </c>
      <c r="X7" s="460">
        <f>'Goods and WorksPP'!AR7</f>
        <v>0</v>
      </c>
    </row>
    <row r="8" spans="1:24" ht="22.5" customHeight="1" x14ac:dyDescent="0.4">
      <c r="A8" s="487"/>
      <c r="B8" s="493">
        <f>'Goods and WorksPP'!C9</f>
        <v>0</v>
      </c>
      <c r="C8" s="461">
        <f>'Goods and WorksPP'!D9</f>
        <v>0</v>
      </c>
      <c r="D8" s="456">
        <f>'Goods and WorksPP'!G9</f>
        <v>0</v>
      </c>
      <c r="E8" s="456">
        <f>'Goods and WorksPP'!H9</f>
        <v>0</v>
      </c>
      <c r="F8" s="69" t="s">
        <v>89</v>
      </c>
      <c r="G8" s="93"/>
      <c r="H8" s="93"/>
      <c r="I8" s="93"/>
      <c r="J8" s="459"/>
      <c r="K8" s="462">
        <f>'Goods and WorksPP'!Z9</f>
        <v>0</v>
      </c>
      <c r="L8" s="472">
        <f>'Goods and WorksPP'!AA9</f>
        <v>0</v>
      </c>
      <c r="M8" s="462"/>
      <c r="N8" s="462"/>
      <c r="O8" s="462"/>
      <c r="P8" s="475"/>
      <c r="Q8" s="462"/>
      <c r="R8" s="462">
        <f>'Goods and WorksPP'!AJ9</f>
        <v>0</v>
      </c>
      <c r="S8" s="462">
        <f>'Goods and WorksPP'!AK9</f>
        <v>0</v>
      </c>
      <c r="T8" s="475"/>
      <c r="U8" s="462">
        <f>'Goods and WorksPP'!AO9</f>
        <v>0</v>
      </c>
      <c r="V8" s="462">
        <f>'Goods and WorksPP'!AP9</f>
        <v>0</v>
      </c>
      <c r="W8" s="462">
        <f>'Goods and WorksPP'!AQ9</f>
        <v>0</v>
      </c>
      <c r="X8" s="460">
        <f>'Goods and WorksPP'!AR9</f>
        <v>0</v>
      </c>
    </row>
    <row r="9" spans="1:24" ht="12.75" customHeight="1" x14ac:dyDescent="0.4">
      <c r="A9" s="487"/>
      <c r="B9" s="493" t="str">
        <f>'Goods and WorksPP'!C10</f>
        <v>BWW2-2</v>
      </c>
      <c r="C9" s="461" t="str">
        <f>'Goods and WorksPP'!D10</f>
        <v>Distribution Networks,
Pumping Stations &amp; Reservoirs – Zone B</v>
      </c>
      <c r="D9" s="456">
        <f>'Goods and WorksPP'!G10</f>
        <v>2.5000000000000001E-2</v>
      </c>
      <c r="E9" s="456">
        <f>'Goods and WorksPP'!H10</f>
        <v>0.97499999999999998</v>
      </c>
      <c r="F9" s="65" t="str">
        <f>'Goods and WorksPP'!A6</f>
        <v>Planned</v>
      </c>
      <c r="G9" s="91"/>
      <c r="H9" s="91"/>
      <c r="I9" s="91"/>
      <c r="J9" s="457" t="str">
        <f>'Goods and WorksPP'!AG10</f>
        <v>JCC/WARD
LEBANON</v>
      </c>
      <c r="K9" s="462">
        <f>'Goods and WorksPP'!Z10</f>
        <v>0</v>
      </c>
      <c r="L9" s="472" t="str">
        <f>'Goods and WorksPP'!AA10</f>
        <v>USD</v>
      </c>
      <c r="M9" s="462"/>
      <c r="N9" s="462"/>
      <c r="O9" s="462"/>
      <c r="P9" s="473"/>
      <c r="Q9" s="462"/>
      <c r="R9" s="462">
        <f>'Goods and WorksPP'!AJ10</f>
        <v>0</v>
      </c>
      <c r="S9" s="462">
        <f>'Goods and WorksPP'!AK10</f>
        <v>0</v>
      </c>
      <c r="T9" s="473"/>
      <c r="U9" s="462">
        <f>'Goods and WorksPP'!AO10</f>
        <v>0</v>
      </c>
      <c r="V9" s="462">
        <f>'Goods and WorksPP'!AP10</f>
        <v>0</v>
      </c>
      <c r="W9" s="462">
        <f>'Goods and WorksPP'!AQ10</f>
        <v>0</v>
      </c>
      <c r="X9" s="460">
        <f>'Goods and WorksPP'!AR10</f>
        <v>0</v>
      </c>
    </row>
    <row r="10" spans="1:24" x14ac:dyDescent="0.4">
      <c r="A10" s="487"/>
      <c r="B10" s="493">
        <f>'Goods and WorksPP'!C11</f>
        <v>0</v>
      </c>
      <c r="C10" s="461">
        <f>'Goods and WorksPP'!D11</f>
        <v>0</v>
      </c>
      <c r="D10" s="456">
        <f>'Goods and WorksPP'!G11</f>
        <v>0</v>
      </c>
      <c r="E10" s="456">
        <f>'Goods and WorksPP'!H11</f>
        <v>0</v>
      </c>
      <c r="F10" s="68" t="str">
        <f>'Goods and WorksPP'!A7</f>
        <v>Revised</v>
      </c>
      <c r="G10" s="92"/>
      <c r="H10" s="92"/>
      <c r="I10" s="92"/>
      <c r="J10" s="458"/>
      <c r="K10" s="462">
        <f>'Goods and WorksPP'!Z11</f>
        <v>0</v>
      </c>
      <c r="L10" s="472">
        <f>'Goods and WorksPP'!AA11</f>
        <v>0</v>
      </c>
      <c r="M10" s="462"/>
      <c r="N10" s="462"/>
      <c r="O10" s="462"/>
      <c r="P10" s="474"/>
      <c r="Q10" s="462"/>
      <c r="R10" s="462">
        <f>'Goods and WorksPP'!AJ11</f>
        <v>0</v>
      </c>
      <c r="S10" s="462">
        <f>'Goods and WorksPP'!AK11</f>
        <v>0</v>
      </c>
      <c r="T10" s="474"/>
      <c r="U10" s="462">
        <f>'Goods and WorksPP'!AO11</f>
        <v>0</v>
      </c>
      <c r="V10" s="462">
        <f>'Goods and WorksPP'!AP11</f>
        <v>0</v>
      </c>
      <c r="W10" s="462">
        <f>'Goods and WorksPP'!AQ11</f>
        <v>0</v>
      </c>
      <c r="X10" s="460">
        <f>'Goods and WorksPP'!AR11</f>
        <v>0</v>
      </c>
    </row>
    <row r="11" spans="1:24" x14ac:dyDescent="0.4">
      <c r="A11" s="487"/>
      <c r="B11" s="493">
        <f>'Goods and WorksPP'!C13</f>
        <v>0</v>
      </c>
      <c r="C11" s="461">
        <f>'Goods and WorksPP'!D13</f>
        <v>0</v>
      </c>
      <c r="D11" s="456">
        <f>'Goods and WorksPP'!G13</f>
        <v>0</v>
      </c>
      <c r="E11" s="456">
        <f>'Goods and WorksPP'!H13</f>
        <v>0</v>
      </c>
      <c r="F11" s="69" t="str">
        <f>'Goods and WorksPP'!A9</f>
        <v>Amended</v>
      </c>
      <c r="G11" s="93"/>
      <c r="H11" s="93"/>
      <c r="I11" s="93"/>
      <c r="J11" s="459"/>
      <c r="K11" s="462">
        <f>'Goods and WorksPP'!Z13</f>
        <v>0</v>
      </c>
      <c r="L11" s="472">
        <f>'Goods and WorksPP'!AA13</f>
        <v>0</v>
      </c>
      <c r="M11" s="462"/>
      <c r="N11" s="462"/>
      <c r="O11" s="462"/>
      <c r="P11" s="475"/>
      <c r="Q11" s="462"/>
      <c r="R11" s="462">
        <f>'Goods and WorksPP'!AJ13</f>
        <v>0</v>
      </c>
      <c r="S11" s="462">
        <f>'Goods and WorksPP'!AK13</f>
        <v>0</v>
      </c>
      <c r="T11" s="475"/>
      <c r="U11" s="462">
        <f>'Goods and WorksPP'!AO13</f>
        <v>0</v>
      </c>
      <c r="V11" s="462">
        <f>'Goods and WorksPP'!AP13</f>
        <v>0</v>
      </c>
      <c r="W11" s="462">
        <f>'Goods and WorksPP'!AQ13</f>
        <v>0</v>
      </c>
      <c r="X11" s="460">
        <f>'Goods and WorksPP'!AR13</f>
        <v>0</v>
      </c>
    </row>
    <row r="12" spans="1:24" ht="12.75" customHeight="1" x14ac:dyDescent="0.4">
      <c r="A12" s="487"/>
      <c r="B12" s="493" t="str">
        <f>'Goods and WorksPP'!C14</f>
        <v>BWW2-3</v>
      </c>
      <c r="C12" s="461" t="str">
        <f>'Goods and WorksPP'!D14</f>
        <v>Distribution Networks,
Pumping Stations &amp; Reservoirs – Zone C</v>
      </c>
      <c r="D12" s="456">
        <f>'Goods and WorksPP'!G14</f>
        <v>2.5000000000000001E-2</v>
      </c>
      <c r="E12" s="456">
        <f>'Goods and WorksPP'!H14</f>
        <v>0.97499999999999998</v>
      </c>
      <c r="F12" s="65" t="str">
        <f>'Goods and WorksPP'!A10</f>
        <v>Planned</v>
      </c>
      <c r="G12" s="91"/>
      <c r="H12" s="91"/>
      <c r="I12" s="91"/>
      <c r="J12" s="521" t="str">
        <f>'Goods and WorksPP'!AG14</f>
        <v>VODOKANALPROEKT – 
METALPROEKT INGENEERING AD,
Bulgaria</v>
      </c>
      <c r="K12" s="462">
        <f>'Goods and WorksPP'!Z14</f>
        <v>0</v>
      </c>
      <c r="L12" s="472" t="str">
        <f>'Goods and WorksPP'!AA14</f>
        <v>USD</v>
      </c>
      <c r="M12" s="462"/>
      <c r="N12" s="462"/>
      <c r="O12" s="462"/>
      <c r="P12" s="473"/>
      <c r="Q12" s="462"/>
      <c r="R12" s="462">
        <f>'Goods and WorksPP'!AJ14</f>
        <v>0</v>
      </c>
      <c r="S12" s="462">
        <f>'Goods and WorksPP'!AK14</f>
        <v>0</v>
      </c>
      <c r="T12" s="473"/>
      <c r="U12" s="462">
        <f>'Goods and WorksPP'!AO14</f>
        <v>0</v>
      </c>
      <c r="V12" s="462">
        <f>'Goods and WorksPP'!AP14</f>
        <v>0</v>
      </c>
      <c r="W12" s="462">
        <f>'Goods and WorksPP'!AQ14</f>
        <v>0</v>
      </c>
      <c r="X12" s="460">
        <f>'Goods and WorksPP'!AR14</f>
        <v>0</v>
      </c>
    </row>
    <row r="13" spans="1:24" ht="12.75" customHeight="1" x14ac:dyDescent="0.4">
      <c r="A13" s="487"/>
      <c r="B13" s="493">
        <f>'Goods and WorksPP'!C15</f>
        <v>0</v>
      </c>
      <c r="C13" s="461">
        <f>'Goods and WorksPP'!D15</f>
        <v>0</v>
      </c>
      <c r="D13" s="456">
        <f>'Goods and WorksPP'!G15</f>
        <v>0</v>
      </c>
      <c r="E13" s="456">
        <f>'Goods and WorksPP'!H15</f>
        <v>0</v>
      </c>
      <c r="F13" s="68" t="str">
        <f>'Goods and WorksPP'!A11</f>
        <v>Revised</v>
      </c>
      <c r="G13" s="92"/>
      <c r="H13" s="92"/>
      <c r="I13" s="92"/>
      <c r="J13" s="522"/>
      <c r="K13" s="462">
        <f>'Goods and WorksPP'!Z15</f>
        <v>0</v>
      </c>
      <c r="L13" s="472">
        <f>'Goods and WorksPP'!AA15</f>
        <v>0</v>
      </c>
      <c r="M13" s="462"/>
      <c r="N13" s="462"/>
      <c r="O13" s="462"/>
      <c r="P13" s="474"/>
      <c r="Q13" s="462"/>
      <c r="R13" s="462">
        <f>'Goods and WorksPP'!AJ15</f>
        <v>0</v>
      </c>
      <c r="S13" s="462">
        <f>'Goods and WorksPP'!AK15</f>
        <v>0</v>
      </c>
      <c r="T13" s="474"/>
      <c r="U13" s="462">
        <f>'Goods and WorksPP'!AO15</f>
        <v>0</v>
      </c>
      <c r="V13" s="462">
        <f>'Goods and WorksPP'!AP15</f>
        <v>0</v>
      </c>
      <c r="W13" s="462">
        <f>'Goods and WorksPP'!AQ15</f>
        <v>0</v>
      </c>
      <c r="X13" s="460">
        <f>'Goods and WorksPP'!AR15</f>
        <v>0</v>
      </c>
    </row>
    <row r="14" spans="1:24" ht="23.25" customHeight="1" x14ac:dyDescent="0.4">
      <c r="A14" s="487"/>
      <c r="B14" s="493">
        <f>'Goods and WorksPP'!C17</f>
        <v>0</v>
      </c>
      <c r="C14" s="461">
        <f>'Goods and WorksPP'!D17</f>
        <v>0</v>
      </c>
      <c r="D14" s="456">
        <f>'Goods and WorksPP'!G17</f>
        <v>0</v>
      </c>
      <c r="E14" s="456">
        <f>'Goods and WorksPP'!H17</f>
        <v>0</v>
      </c>
      <c r="F14" s="69" t="str">
        <f>'Goods and WorksPP'!A13</f>
        <v>Amended</v>
      </c>
      <c r="G14" s="93"/>
      <c r="H14" s="93"/>
      <c r="I14" s="93"/>
      <c r="J14" s="523"/>
      <c r="K14" s="462">
        <f>'Goods and WorksPP'!Z17</f>
        <v>0</v>
      </c>
      <c r="L14" s="472">
        <f>'Goods and WorksPP'!AA17</f>
        <v>0</v>
      </c>
      <c r="M14" s="462"/>
      <c r="N14" s="462"/>
      <c r="O14" s="462"/>
      <c r="P14" s="475"/>
      <c r="Q14" s="462"/>
      <c r="R14" s="462">
        <f>'Goods and WorksPP'!AJ17</f>
        <v>0</v>
      </c>
      <c r="S14" s="462">
        <f>'Goods and WorksPP'!AK17</f>
        <v>0</v>
      </c>
      <c r="T14" s="475"/>
      <c r="U14" s="462">
        <f>'Goods and WorksPP'!AO17</f>
        <v>0</v>
      </c>
      <c r="V14" s="462">
        <f>'Goods and WorksPP'!AP17</f>
        <v>0</v>
      </c>
      <c r="W14" s="462">
        <f>'Goods and WorksPP'!AQ17</f>
        <v>0</v>
      </c>
      <c r="X14" s="460">
        <f>'Goods and WorksPP'!AR17</f>
        <v>0</v>
      </c>
    </row>
    <row r="15" spans="1:24" x14ac:dyDescent="0.4">
      <c r="A15" s="487"/>
      <c r="B15" s="493" t="str">
        <f>'Goods and WorksPP'!C18</f>
        <v>BWW2-4</v>
      </c>
      <c r="C15" s="461" t="str">
        <f>'Goods and WorksPP'!D18</f>
        <v>Distribution Networks,
Pumping Stations &amp; Reservoirs – Zone D</v>
      </c>
      <c r="D15" s="456">
        <f>'Goods and WorksPP'!G18</f>
        <v>2.5000000000000001E-2</v>
      </c>
      <c r="E15" s="456">
        <f>'Goods and WorksPP'!H18</f>
        <v>0.97499999999999998</v>
      </c>
      <c r="F15" s="65" t="str">
        <f>'Goods and WorksPP'!A14</f>
        <v>Planned</v>
      </c>
      <c r="G15" s="91"/>
      <c r="H15" s="91"/>
      <c r="I15" s="91"/>
      <c r="J15" s="457" t="str">
        <f>'Goods and WorksPP'!AG18</f>
        <v>LINDENBERG - EMIRATES LLC</v>
      </c>
      <c r="K15" s="462">
        <f>'Goods and WorksPP'!Z18</f>
        <v>0</v>
      </c>
      <c r="L15" s="472" t="str">
        <f>'Goods and WorksPP'!AA18</f>
        <v>USD</v>
      </c>
      <c r="M15" s="462"/>
      <c r="N15" s="462"/>
      <c r="O15" s="462"/>
      <c r="P15" s="473"/>
      <c r="Q15" s="462"/>
      <c r="R15" s="462">
        <f>'Goods and WorksPP'!AJ18</f>
        <v>0</v>
      </c>
      <c r="S15" s="462">
        <f>'Goods and WorksPP'!AK18</f>
        <v>0</v>
      </c>
      <c r="T15" s="473"/>
      <c r="U15" s="462">
        <f>'Goods and WorksPP'!AO18</f>
        <v>0</v>
      </c>
      <c r="V15" s="462">
        <f>'Goods and WorksPP'!AP18</f>
        <v>0</v>
      </c>
      <c r="W15" s="462">
        <f>'Goods and WorksPP'!AQ18</f>
        <v>0</v>
      </c>
      <c r="X15" s="460">
        <f>'Goods and WorksPP'!AR18</f>
        <v>0</v>
      </c>
    </row>
    <row r="16" spans="1:24" x14ac:dyDescent="0.4">
      <c r="A16" s="487"/>
      <c r="B16" s="493">
        <f>'Goods and WorksPP'!C19</f>
        <v>0</v>
      </c>
      <c r="C16" s="461">
        <f>'Goods and WorksPP'!D19</f>
        <v>0</v>
      </c>
      <c r="D16" s="456">
        <f>'Goods and WorksPP'!G19</f>
        <v>0</v>
      </c>
      <c r="E16" s="456">
        <f>'Goods and WorksPP'!H19</f>
        <v>0</v>
      </c>
      <c r="F16" s="68" t="str">
        <f>'Goods and WorksPP'!A15</f>
        <v>Revised</v>
      </c>
      <c r="G16" s="92"/>
      <c r="H16" s="92"/>
      <c r="I16" s="92"/>
      <c r="J16" s="458"/>
      <c r="K16" s="462">
        <f>'Goods and WorksPP'!Z19</f>
        <v>0</v>
      </c>
      <c r="L16" s="472">
        <f>'Goods and WorksPP'!AA19</f>
        <v>0</v>
      </c>
      <c r="M16" s="462"/>
      <c r="N16" s="462"/>
      <c r="O16" s="462"/>
      <c r="P16" s="474"/>
      <c r="Q16" s="462"/>
      <c r="R16" s="462">
        <f>'Goods and WorksPP'!AJ19</f>
        <v>0</v>
      </c>
      <c r="S16" s="462">
        <f>'Goods and WorksPP'!AK19</f>
        <v>0</v>
      </c>
      <c r="T16" s="474"/>
      <c r="U16" s="462">
        <f>'Goods and WorksPP'!AO19</f>
        <v>0</v>
      </c>
      <c r="V16" s="462">
        <f>'Goods and WorksPP'!AP19</f>
        <v>0</v>
      </c>
      <c r="W16" s="462">
        <f>'Goods and WorksPP'!AQ19</f>
        <v>0</v>
      </c>
      <c r="X16" s="460">
        <f>'Goods and WorksPP'!AR19</f>
        <v>0</v>
      </c>
    </row>
    <row r="17" spans="1:24" ht="12.75" customHeight="1" x14ac:dyDescent="0.4">
      <c r="A17" s="487"/>
      <c r="B17" s="493">
        <f>'Goods and WorksPP'!C21</f>
        <v>0</v>
      </c>
      <c r="C17" s="461">
        <f>'Goods and WorksPP'!D21</f>
        <v>0</v>
      </c>
      <c r="D17" s="456">
        <f>'Goods and WorksPP'!G21</f>
        <v>0</v>
      </c>
      <c r="E17" s="456">
        <f>'Goods and WorksPP'!H21</f>
        <v>0</v>
      </c>
      <c r="F17" s="69" t="str">
        <f>'Goods and WorksPP'!A17</f>
        <v>Amended</v>
      </c>
      <c r="G17" s="93"/>
      <c r="H17" s="93"/>
      <c r="I17" s="93"/>
      <c r="J17" s="459"/>
      <c r="K17" s="462">
        <f>'Goods and WorksPP'!Z21</f>
        <v>0</v>
      </c>
      <c r="L17" s="472">
        <f>'Goods and WorksPP'!AA21</f>
        <v>0</v>
      </c>
      <c r="M17" s="462"/>
      <c r="N17" s="462"/>
      <c r="O17" s="462"/>
      <c r="P17" s="475"/>
      <c r="Q17" s="462"/>
      <c r="R17" s="462">
        <f>'Goods and WorksPP'!AJ21</f>
        <v>0</v>
      </c>
      <c r="S17" s="462">
        <f>'Goods and WorksPP'!AK21</f>
        <v>0</v>
      </c>
      <c r="T17" s="475"/>
      <c r="U17" s="462">
        <f>'Goods and WorksPP'!AO21</f>
        <v>0</v>
      </c>
      <c r="V17" s="462">
        <f>'Goods and WorksPP'!AP21</f>
        <v>0</v>
      </c>
      <c r="W17" s="462">
        <f>'Goods and WorksPP'!AQ21</f>
        <v>0</v>
      </c>
      <c r="X17" s="460">
        <f>'Goods and WorksPP'!AR21</f>
        <v>0</v>
      </c>
    </row>
    <row r="18" spans="1:24" x14ac:dyDescent="0.4">
      <c r="A18" s="487"/>
      <c r="B18" s="493" t="str">
        <f>'Goods and WorksPP'!C22</f>
        <v>BWW1-A</v>
      </c>
      <c r="C18" s="461" t="str">
        <f>'Goods and WorksPP'!D22</f>
        <v>Tunnel &amp; Transfer lines</v>
      </c>
      <c r="D18" s="456" t="str">
        <f>'Goods and WorksPP'!G22</f>
        <v>100% on fixed part</v>
      </c>
      <c r="E18" s="456">
        <f>'Goods and WorksPP'!H22</f>
        <v>0</v>
      </c>
      <c r="F18" s="65" t="str">
        <f>'Goods and WorksPP'!A18</f>
        <v>Planned</v>
      </c>
      <c r="G18" s="91"/>
      <c r="H18" s="91"/>
      <c r="I18" s="91"/>
      <c r="J18" s="510" t="str">
        <f>'Goods and WorksPP'!AG22</f>
        <v>COOPERATIVA MURATORI CEMENTISTI DI RAVENNA
ITALY</v>
      </c>
      <c r="K18" s="462">
        <f>'Goods and WorksPP'!Z22</f>
        <v>0</v>
      </c>
      <c r="L18" s="472" t="str">
        <f>'Goods and WorksPP'!AA22</f>
        <v>USD</v>
      </c>
      <c r="M18" s="462"/>
      <c r="N18" s="462"/>
      <c r="O18" s="462"/>
      <c r="P18" s="473"/>
      <c r="Q18" s="462"/>
      <c r="R18" s="462">
        <f>'Goods and WorksPP'!AJ22</f>
        <v>0</v>
      </c>
      <c r="S18" s="462">
        <f>'Goods and WorksPP'!AK22</f>
        <v>0</v>
      </c>
      <c r="T18" s="473"/>
      <c r="U18" s="462">
        <f>'Goods and WorksPP'!AO22</f>
        <v>0</v>
      </c>
      <c r="V18" s="462">
        <f>'Goods and WorksPP'!AP22</f>
        <v>0</v>
      </c>
      <c r="W18" s="462">
        <f>'Goods and WorksPP'!AQ22</f>
        <v>0</v>
      </c>
      <c r="X18" s="460">
        <f>'Goods and WorksPP'!AR22</f>
        <v>0</v>
      </c>
    </row>
    <row r="19" spans="1:24" x14ac:dyDescent="0.4">
      <c r="A19" s="487"/>
      <c r="B19" s="493">
        <f>'Goods and WorksPP'!C23</f>
        <v>0</v>
      </c>
      <c r="C19" s="461">
        <f>'Goods and WorksPP'!D23</f>
        <v>0</v>
      </c>
      <c r="D19" s="456">
        <f>'Goods and WorksPP'!G23</f>
        <v>0</v>
      </c>
      <c r="E19" s="456">
        <f>'Goods and WorksPP'!H23</f>
        <v>0</v>
      </c>
      <c r="F19" s="68" t="str">
        <f>'Goods and WorksPP'!A19</f>
        <v>Revised</v>
      </c>
      <c r="G19" s="92"/>
      <c r="H19" s="92"/>
      <c r="I19" s="92"/>
      <c r="J19" s="511"/>
      <c r="K19" s="462">
        <f>'Goods and WorksPP'!Z23</f>
        <v>0</v>
      </c>
      <c r="L19" s="472">
        <f>'Goods and WorksPP'!AA23</f>
        <v>0</v>
      </c>
      <c r="M19" s="462"/>
      <c r="N19" s="462"/>
      <c r="O19" s="462"/>
      <c r="P19" s="474"/>
      <c r="Q19" s="462"/>
      <c r="R19" s="462">
        <f>'Goods and WorksPP'!AJ23</f>
        <v>0</v>
      </c>
      <c r="S19" s="462">
        <f>'Goods and WorksPP'!AK23</f>
        <v>0</v>
      </c>
      <c r="T19" s="474"/>
      <c r="U19" s="462">
        <f>'Goods and WorksPP'!AO23</f>
        <v>0</v>
      </c>
      <c r="V19" s="462">
        <f>'Goods and WorksPP'!AP23</f>
        <v>0</v>
      </c>
      <c r="W19" s="462">
        <f>'Goods and WorksPP'!AQ23</f>
        <v>0</v>
      </c>
      <c r="X19" s="460">
        <f>'Goods and WorksPP'!AR23</f>
        <v>0</v>
      </c>
    </row>
    <row r="20" spans="1:24" ht="28.5" customHeight="1" x14ac:dyDescent="0.4">
      <c r="A20" s="487"/>
      <c r="B20" s="493">
        <f>'Goods and WorksPP'!C24</f>
        <v>0</v>
      </c>
      <c r="C20" s="461">
        <f>'Goods and WorksPP'!D24</f>
        <v>0</v>
      </c>
      <c r="D20" s="456">
        <f>'Goods and WorksPP'!G24</f>
        <v>0</v>
      </c>
      <c r="E20" s="456">
        <f>'Goods and WorksPP'!H24</f>
        <v>0</v>
      </c>
      <c r="F20" s="69" t="str">
        <f>'Goods and WorksPP'!A21</f>
        <v>Amended</v>
      </c>
      <c r="G20" s="93"/>
      <c r="H20" s="93"/>
      <c r="I20" s="93"/>
      <c r="J20" s="512"/>
      <c r="K20" s="462">
        <f>'Goods and WorksPP'!Z24</f>
        <v>0</v>
      </c>
      <c r="L20" s="472">
        <f>'Goods and WorksPP'!AA24</f>
        <v>0</v>
      </c>
      <c r="M20" s="462"/>
      <c r="N20" s="462"/>
      <c r="O20" s="462"/>
      <c r="P20" s="475"/>
      <c r="Q20" s="462"/>
      <c r="R20" s="462">
        <f>'Goods and WorksPP'!AJ24</f>
        <v>0</v>
      </c>
      <c r="S20" s="462">
        <f>'Goods and WorksPP'!AK24</f>
        <v>0</v>
      </c>
      <c r="T20" s="475"/>
      <c r="U20" s="462">
        <f>'Goods and WorksPP'!AO24</f>
        <v>0</v>
      </c>
      <c r="V20" s="462">
        <f>'Goods and WorksPP'!AP24</f>
        <v>0</v>
      </c>
      <c r="W20" s="462">
        <f>'Goods and WorksPP'!AQ24</f>
        <v>0</v>
      </c>
      <c r="X20" s="460">
        <f>'Goods and WorksPP'!AR24</f>
        <v>0</v>
      </c>
    </row>
    <row r="21" spans="1:24" ht="12.75" customHeight="1" x14ac:dyDescent="0.4">
      <c r="A21" s="487"/>
      <c r="B21" s="493" t="str">
        <f>'Goods and WorksPP'!C25</f>
        <v>BWW1-C</v>
      </c>
      <c r="C21" s="461" t="str">
        <f>'Goods and WorksPP'!D25</f>
        <v>Reservoirs &amp;
Transmission lines</v>
      </c>
      <c r="D21" s="456">
        <f>'Goods and WorksPP'!G25</f>
        <v>1</v>
      </c>
      <c r="E21" s="456">
        <f>'Goods and WorksPP'!H25</f>
        <v>0</v>
      </c>
      <c r="F21" s="65" t="str">
        <f>'Goods and WorksPP'!A22</f>
        <v>Planned</v>
      </c>
      <c r="G21" s="91"/>
      <c r="H21" s="91"/>
      <c r="I21" s="91"/>
      <c r="J21" s="513">
        <f>'Goods and WorksPP'!AG25</f>
        <v>0</v>
      </c>
      <c r="K21" s="462">
        <f>'Goods and WorksPP'!Z25</f>
        <v>0</v>
      </c>
      <c r="L21" s="472">
        <f>'Goods and WorksPP'!AA25</f>
        <v>0</v>
      </c>
      <c r="M21" s="462"/>
      <c r="N21" s="462"/>
      <c r="O21" s="462"/>
      <c r="P21" s="473"/>
      <c r="Q21" s="462"/>
      <c r="R21" s="462">
        <f>'Goods and WorksPP'!AJ25</f>
        <v>0</v>
      </c>
      <c r="S21" s="462">
        <f>'Goods and WorksPP'!AK25</f>
        <v>0</v>
      </c>
      <c r="T21" s="473"/>
      <c r="U21" s="462">
        <f>'Goods and WorksPP'!AO25</f>
        <v>0</v>
      </c>
      <c r="V21" s="462">
        <f>'Goods and WorksPP'!AP25</f>
        <v>0</v>
      </c>
      <c r="W21" s="462">
        <f>'Goods and WorksPP'!AQ25</f>
        <v>0</v>
      </c>
      <c r="X21" s="460">
        <f>'Goods and WorksPP'!AR25</f>
        <v>0</v>
      </c>
    </row>
    <row r="22" spans="1:24" x14ac:dyDescent="0.4">
      <c r="A22" s="487"/>
      <c r="B22" s="493">
        <f>'Goods and WorksPP'!C26</f>
        <v>0</v>
      </c>
      <c r="C22" s="461">
        <f>'Goods and WorksPP'!D26</f>
        <v>0</v>
      </c>
      <c r="D22" s="456">
        <f>'Goods and WorksPP'!G26</f>
        <v>0</v>
      </c>
      <c r="E22" s="456">
        <f>'Goods and WorksPP'!H26</f>
        <v>0</v>
      </c>
      <c r="F22" s="68" t="str">
        <f>'Goods and WorksPP'!A23</f>
        <v>Revised</v>
      </c>
      <c r="G22" s="92"/>
      <c r="H22" s="92"/>
      <c r="I22" s="92"/>
      <c r="J22" s="514"/>
      <c r="K22" s="462">
        <f>'Goods and WorksPP'!Z26</f>
        <v>0</v>
      </c>
      <c r="L22" s="472">
        <f>'Goods and WorksPP'!AA26</f>
        <v>0</v>
      </c>
      <c r="M22" s="462"/>
      <c r="N22" s="462"/>
      <c r="O22" s="462"/>
      <c r="P22" s="474"/>
      <c r="Q22" s="462"/>
      <c r="R22" s="462">
        <f>'Goods and WorksPP'!AJ26</f>
        <v>0</v>
      </c>
      <c r="S22" s="462">
        <f>'Goods and WorksPP'!AK26</f>
        <v>0</v>
      </c>
      <c r="T22" s="474"/>
      <c r="U22" s="462">
        <f>'Goods and WorksPP'!AO26</f>
        <v>0</v>
      </c>
      <c r="V22" s="462">
        <f>'Goods and WorksPP'!AP26</f>
        <v>0</v>
      </c>
      <c r="W22" s="462">
        <f>'Goods and WorksPP'!AQ26</f>
        <v>0</v>
      </c>
      <c r="X22" s="460">
        <f>'Goods and WorksPP'!AR26</f>
        <v>0</v>
      </c>
    </row>
    <row r="23" spans="1:24" x14ac:dyDescent="0.4">
      <c r="A23" s="487"/>
      <c r="B23" s="493">
        <f>'Goods and WorksPP'!C27</f>
        <v>0</v>
      </c>
      <c r="C23" s="461">
        <f>'Goods and WorksPP'!D27</f>
        <v>0</v>
      </c>
      <c r="D23" s="456">
        <f>'Goods and WorksPP'!G27</f>
        <v>0</v>
      </c>
      <c r="E23" s="456">
        <f>'Goods and WorksPP'!H27</f>
        <v>0</v>
      </c>
      <c r="F23" s="69" t="str">
        <f>'Goods and WorksPP'!A24</f>
        <v>Actual</v>
      </c>
      <c r="G23" s="93"/>
      <c r="H23" s="93"/>
      <c r="I23" s="93"/>
      <c r="J23" s="515"/>
      <c r="K23" s="462">
        <f>'Goods and WorksPP'!Z27</f>
        <v>0</v>
      </c>
      <c r="L23" s="472">
        <f>'Goods and WorksPP'!AA27</f>
        <v>0</v>
      </c>
      <c r="M23" s="462"/>
      <c r="N23" s="462"/>
      <c r="O23" s="462"/>
      <c r="P23" s="475"/>
      <c r="Q23" s="462"/>
      <c r="R23" s="462">
        <f>'Goods and WorksPP'!AJ27</f>
        <v>0</v>
      </c>
      <c r="S23" s="462">
        <f>'Goods and WorksPP'!AK27</f>
        <v>0</v>
      </c>
      <c r="T23" s="475"/>
      <c r="U23" s="462">
        <f>'Goods and WorksPP'!AO27</f>
        <v>0</v>
      </c>
      <c r="V23" s="462">
        <f>'Goods and WorksPP'!AP27</f>
        <v>0</v>
      </c>
      <c r="W23" s="462">
        <f>'Goods and WorksPP'!AQ27</f>
        <v>0</v>
      </c>
      <c r="X23" s="460">
        <f>'Goods and WorksPP'!AR27</f>
        <v>0</v>
      </c>
    </row>
    <row r="24" spans="1:24" x14ac:dyDescent="0.4">
      <c r="A24" s="487"/>
      <c r="B24" s="493" t="str">
        <f>'Goods and WorksPP'!C28</f>
        <v>BWW1-B</v>
      </c>
      <c r="C24" s="461" t="str">
        <f>'Goods and WorksPP'!D28</f>
        <v>Wardanieh
Water Treatment Plant</v>
      </c>
      <c r="D24" s="456">
        <f>'Goods and WorksPP'!G28</f>
        <v>0.05</v>
      </c>
      <c r="E24" s="456">
        <f>'Goods and WorksPP'!H28</f>
        <v>0.95</v>
      </c>
      <c r="F24" s="65" t="str">
        <f>'Goods and WorksPP'!A25</f>
        <v>Planned</v>
      </c>
      <c r="G24" s="91"/>
      <c r="H24" s="91"/>
      <c r="I24" s="91"/>
      <c r="J24" s="463" t="str">
        <f>'Goods and WorksPP'!AG28</f>
        <v>OTV
FRANCE</v>
      </c>
      <c r="K24" s="508"/>
      <c r="L24" s="509" t="str">
        <f>'Goods and WorksPP'!AA28</f>
        <v>USD
&amp;
Euros</v>
      </c>
      <c r="M24" s="462"/>
      <c r="N24" s="462"/>
      <c r="O24" s="462"/>
      <c r="P24" s="473"/>
      <c r="Q24" s="462"/>
      <c r="R24" s="462">
        <f>'Goods and WorksPP'!AJ28</f>
        <v>0</v>
      </c>
      <c r="S24" s="462">
        <f>'Goods and WorksPP'!AK28</f>
        <v>0</v>
      </c>
      <c r="T24" s="473"/>
      <c r="U24" s="462">
        <f>'Goods and WorksPP'!AO28</f>
        <v>0</v>
      </c>
      <c r="V24" s="462">
        <f>'Goods and WorksPP'!AP28</f>
        <v>0</v>
      </c>
      <c r="W24" s="462">
        <f>'Goods and WorksPP'!AQ28</f>
        <v>0</v>
      </c>
      <c r="X24" s="460">
        <f>'Goods and WorksPP'!AR28</f>
        <v>0</v>
      </c>
    </row>
    <row r="25" spans="1:24" x14ac:dyDescent="0.4">
      <c r="A25" s="487"/>
      <c r="B25" s="493">
        <f>'Goods and WorksPP'!C29</f>
        <v>0</v>
      </c>
      <c r="C25" s="461">
        <f>'Goods and WorksPP'!D29</f>
        <v>0</v>
      </c>
      <c r="D25" s="456">
        <f>'Goods and WorksPP'!G29</f>
        <v>0</v>
      </c>
      <c r="E25" s="456">
        <f>'Goods and WorksPP'!H29</f>
        <v>0</v>
      </c>
      <c r="F25" s="68" t="str">
        <f>'Goods and WorksPP'!A26</f>
        <v>Revised</v>
      </c>
      <c r="G25" s="92"/>
      <c r="H25" s="92"/>
      <c r="I25" s="92"/>
      <c r="J25" s="464"/>
      <c r="K25" s="508"/>
      <c r="L25" s="509">
        <f>'Goods and WorksPP'!AA29</f>
        <v>0</v>
      </c>
      <c r="M25" s="462"/>
      <c r="N25" s="462"/>
      <c r="O25" s="462"/>
      <c r="P25" s="474"/>
      <c r="Q25" s="462"/>
      <c r="R25" s="462">
        <f>'Goods and WorksPP'!AJ29</f>
        <v>0</v>
      </c>
      <c r="S25" s="462">
        <f>'Goods and WorksPP'!AK29</f>
        <v>0</v>
      </c>
      <c r="T25" s="474"/>
      <c r="U25" s="462">
        <f>'Goods and WorksPP'!AO29</f>
        <v>0</v>
      </c>
      <c r="V25" s="462">
        <f>'Goods and WorksPP'!AP29</f>
        <v>0</v>
      </c>
      <c r="W25" s="462">
        <f>'Goods and WorksPP'!AQ29</f>
        <v>0</v>
      </c>
      <c r="X25" s="460">
        <f>'Goods and WorksPP'!AR29</f>
        <v>0</v>
      </c>
    </row>
    <row r="26" spans="1:24" x14ac:dyDescent="0.4">
      <c r="A26" s="487"/>
      <c r="B26" s="493">
        <f>'Goods and WorksPP'!C30</f>
        <v>0</v>
      </c>
      <c r="C26" s="461">
        <f>'Goods and WorksPP'!D30</f>
        <v>0</v>
      </c>
      <c r="D26" s="456">
        <f>'Goods and WorksPP'!G30</f>
        <v>0</v>
      </c>
      <c r="E26" s="456">
        <f>'Goods and WorksPP'!H30</f>
        <v>0</v>
      </c>
      <c r="F26" s="69" t="str">
        <f>'Goods and WorksPP'!A27</f>
        <v>Actual</v>
      </c>
      <c r="G26" s="351"/>
      <c r="H26" s="93"/>
      <c r="I26" s="93"/>
      <c r="J26" s="465"/>
      <c r="K26" s="508"/>
      <c r="L26" s="509">
        <f>'Goods and WorksPP'!AA30</f>
        <v>0</v>
      </c>
      <c r="M26" s="462"/>
      <c r="N26" s="462"/>
      <c r="O26" s="462"/>
      <c r="P26" s="475"/>
      <c r="Q26" s="462"/>
      <c r="R26" s="462">
        <f>'Goods and WorksPP'!AJ30</f>
        <v>0</v>
      </c>
      <c r="S26" s="462">
        <f>'Goods and WorksPP'!AK30</f>
        <v>0</v>
      </c>
      <c r="T26" s="475"/>
      <c r="U26" s="462">
        <f>'Goods and WorksPP'!AO30</f>
        <v>0</v>
      </c>
      <c r="V26" s="462">
        <f>'Goods and WorksPP'!AP30</f>
        <v>0</v>
      </c>
      <c r="W26" s="462">
        <f>'Goods and WorksPP'!AQ30</f>
        <v>0</v>
      </c>
      <c r="X26" s="460">
        <f>'Goods and WorksPP'!AR30</f>
        <v>0</v>
      </c>
    </row>
    <row r="27" spans="1:24" x14ac:dyDescent="0.4">
      <c r="A27" s="487"/>
      <c r="B27" s="493" t="str">
        <f>'Goods and WorksPP'!C31</f>
        <v>BWW2-5</v>
      </c>
      <c r="C27" s="461" t="str">
        <f>'Goods and WorksPP'!D31</f>
        <v>Meters
(Canceled)</v>
      </c>
      <c r="D27" s="456">
        <f>'Goods and WorksPP'!G31</f>
        <v>0.05</v>
      </c>
      <c r="E27" s="456">
        <f>'Goods and WorksPP'!H31</f>
        <v>0.95</v>
      </c>
      <c r="F27" s="65" t="str">
        <f>'Goods and WorksPP'!A28</f>
        <v>Planned</v>
      </c>
      <c r="G27" s="91"/>
      <c r="H27" s="91"/>
      <c r="I27" s="91"/>
      <c r="J27" s="463"/>
      <c r="K27" s="462"/>
      <c r="L27" s="472">
        <f>'Goods and WorksPP'!AA31</f>
        <v>0</v>
      </c>
      <c r="M27" s="462"/>
      <c r="N27" s="462"/>
      <c r="O27" s="462"/>
      <c r="P27" s="473"/>
      <c r="Q27" s="462"/>
      <c r="R27" s="462">
        <f>'Goods and WorksPP'!AJ31</f>
        <v>0</v>
      </c>
      <c r="S27" s="462">
        <f>'Goods and WorksPP'!AK31</f>
        <v>0</v>
      </c>
      <c r="T27" s="473"/>
      <c r="U27" s="462">
        <f>'Goods and WorksPP'!AO31</f>
        <v>0</v>
      </c>
      <c r="V27" s="462">
        <f>'Goods and WorksPP'!AP31</f>
        <v>0</v>
      </c>
      <c r="W27" s="462">
        <f>'Goods and WorksPP'!AQ31</f>
        <v>0</v>
      </c>
      <c r="X27" s="460">
        <f>'Goods and WorksPP'!AR31</f>
        <v>0</v>
      </c>
    </row>
    <row r="28" spans="1:24" x14ac:dyDescent="0.4">
      <c r="A28" s="487"/>
      <c r="B28" s="493">
        <f>'Goods and WorksPP'!C32</f>
        <v>0</v>
      </c>
      <c r="C28" s="461">
        <f>'Goods and WorksPP'!D32</f>
        <v>0</v>
      </c>
      <c r="D28" s="456">
        <f>'Goods and WorksPP'!G32</f>
        <v>0</v>
      </c>
      <c r="E28" s="456">
        <f>'Goods and WorksPP'!H32</f>
        <v>0</v>
      </c>
      <c r="F28" s="68" t="str">
        <f>'Goods and WorksPP'!A29</f>
        <v>Revised</v>
      </c>
      <c r="G28" s="92"/>
      <c r="H28" s="92"/>
      <c r="I28" s="92"/>
      <c r="J28" s="464"/>
      <c r="K28" s="462"/>
      <c r="L28" s="472">
        <f>'Goods and WorksPP'!AA32</f>
        <v>0</v>
      </c>
      <c r="M28" s="462"/>
      <c r="N28" s="462"/>
      <c r="O28" s="462"/>
      <c r="P28" s="474"/>
      <c r="Q28" s="462"/>
      <c r="R28" s="462">
        <f>'Goods and WorksPP'!AJ32</f>
        <v>0</v>
      </c>
      <c r="S28" s="462">
        <f>'Goods and WorksPP'!AK32</f>
        <v>0</v>
      </c>
      <c r="T28" s="474"/>
      <c r="U28" s="462">
        <f>'Goods and WorksPP'!AO32</f>
        <v>0</v>
      </c>
      <c r="V28" s="462">
        <f>'Goods and WorksPP'!AP32</f>
        <v>0</v>
      </c>
      <c r="W28" s="462">
        <f>'Goods and WorksPP'!AQ32</f>
        <v>0</v>
      </c>
      <c r="X28" s="460">
        <f>'Goods and WorksPP'!AR32</f>
        <v>0</v>
      </c>
    </row>
    <row r="29" spans="1:24" x14ac:dyDescent="0.4">
      <c r="A29" s="487"/>
      <c r="B29" s="493">
        <f>'Goods and WorksPP'!C33</f>
        <v>0</v>
      </c>
      <c r="C29" s="461">
        <f>'Goods and WorksPP'!D33</f>
        <v>0</v>
      </c>
      <c r="D29" s="456">
        <f>'Goods and WorksPP'!G33</f>
        <v>0</v>
      </c>
      <c r="E29" s="456">
        <f>'Goods and WorksPP'!H33</f>
        <v>0</v>
      </c>
      <c r="F29" s="69" t="str">
        <f>'Goods and WorksPP'!A30</f>
        <v>Actual</v>
      </c>
      <c r="G29" s="93"/>
      <c r="H29" s="93"/>
      <c r="I29" s="93"/>
      <c r="J29" s="465"/>
      <c r="K29" s="462"/>
      <c r="L29" s="472">
        <f>'Goods and WorksPP'!AA33</f>
        <v>0</v>
      </c>
      <c r="M29" s="462"/>
      <c r="N29" s="462"/>
      <c r="O29" s="462"/>
      <c r="P29" s="475"/>
      <c r="Q29" s="462"/>
      <c r="R29" s="462">
        <f>'Goods and WorksPP'!AJ33</f>
        <v>0</v>
      </c>
      <c r="S29" s="462">
        <f>'Goods and WorksPP'!AK33</f>
        <v>0</v>
      </c>
      <c r="T29" s="475"/>
      <c r="U29" s="462">
        <f>'Goods and WorksPP'!AO33</f>
        <v>0</v>
      </c>
      <c r="V29" s="462">
        <f>'Goods and WorksPP'!AP33</f>
        <v>0</v>
      </c>
      <c r="W29" s="462">
        <f>'Goods and WorksPP'!AQ33</f>
        <v>0</v>
      </c>
      <c r="X29" s="460">
        <f>'Goods and WorksPP'!AR33</f>
        <v>0</v>
      </c>
    </row>
    <row r="30" spans="1:24" ht="12.75" customHeight="1" x14ac:dyDescent="0.4">
      <c r="A30" s="487"/>
      <c r="B30" s="493" t="str">
        <f>'Goods and WorksPP'!C34</f>
        <v>BWW3-2-2</v>
      </c>
      <c r="C30" s="461" t="str">
        <f>'Goods and WorksPP'!D34</f>
        <v>Scada System for the Greater Beirut Project</v>
      </c>
      <c r="D30" s="456">
        <f>'Goods and WorksPP'!G34</f>
        <v>0.66</v>
      </c>
      <c r="E30" s="456">
        <f>'Goods and WorksPP'!H34</f>
        <v>0.33999999999999997</v>
      </c>
      <c r="F30" s="65" t="str">
        <f>'Goods and WorksPP'!A31</f>
        <v>Planned</v>
      </c>
      <c r="G30" s="91"/>
      <c r="H30" s="91"/>
      <c r="I30" s="91"/>
      <c r="J30" s="463" t="str">
        <f>'Goods and WorksPP'!AG34</f>
        <v>EMCO Engineering LTD
LEBANON</v>
      </c>
      <c r="K30" s="462"/>
      <c r="L30" s="472" t="str">
        <f>'Goods and WorksPP'!AA34</f>
        <v>USD</v>
      </c>
      <c r="M30" s="462"/>
      <c r="N30" s="462"/>
      <c r="O30" s="462"/>
      <c r="P30" s="473"/>
      <c r="Q30" s="462"/>
      <c r="R30" s="462">
        <f>'Goods and WorksPP'!AJ34</f>
        <v>0</v>
      </c>
      <c r="S30" s="462">
        <f>'Goods and WorksPP'!AK34</f>
        <v>0</v>
      </c>
      <c r="T30" s="473"/>
      <c r="U30" s="462">
        <f>'Goods and WorksPP'!AO34</f>
        <v>0</v>
      </c>
      <c r="V30" s="462">
        <f>'Goods and WorksPP'!AP34</f>
        <v>0</v>
      </c>
      <c r="W30" s="462">
        <f>'Goods and WorksPP'!AQ34</f>
        <v>0</v>
      </c>
      <c r="X30" s="460">
        <f>'Goods and WorksPP'!AR34</f>
        <v>0</v>
      </c>
    </row>
    <row r="31" spans="1:24" x14ac:dyDescent="0.4">
      <c r="A31" s="487"/>
      <c r="B31" s="493">
        <f>'Goods and WorksPP'!C35</f>
        <v>0</v>
      </c>
      <c r="C31" s="461">
        <f>'Goods and WorksPP'!D35</f>
        <v>0</v>
      </c>
      <c r="D31" s="456">
        <f>'Goods and WorksPP'!G35</f>
        <v>0</v>
      </c>
      <c r="E31" s="456">
        <f>'Goods and WorksPP'!H35</f>
        <v>0</v>
      </c>
      <c r="F31" s="68" t="str">
        <f>'Goods and WorksPP'!A32</f>
        <v>Revised</v>
      </c>
      <c r="G31" s="92"/>
      <c r="H31" s="92"/>
      <c r="I31" s="92"/>
      <c r="J31" s="464"/>
      <c r="K31" s="462"/>
      <c r="L31" s="472">
        <f>'Goods and WorksPP'!AA35</f>
        <v>0</v>
      </c>
      <c r="M31" s="462"/>
      <c r="N31" s="462"/>
      <c r="O31" s="462"/>
      <c r="P31" s="474"/>
      <c r="Q31" s="462"/>
      <c r="R31" s="462">
        <f>'Goods and WorksPP'!AJ35</f>
        <v>0</v>
      </c>
      <c r="S31" s="462">
        <f>'Goods and WorksPP'!AK35</f>
        <v>0</v>
      </c>
      <c r="T31" s="474"/>
      <c r="U31" s="462">
        <f>'Goods and WorksPP'!AO35</f>
        <v>0</v>
      </c>
      <c r="V31" s="462">
        <f>'Goods and WorksPP'!AP35</f>
        <v>0</v>
      </c>
      <c r="W31" s="462">
        <f>'Goods and WorksPP'!AQ35</f>
        <v>0</v>
      </c>
      <c r="X31" s="460">
        <f>'Goods and WorksPP'!AR35</f>
        <v>0</v>
      </c>
    </row>
    <row r="32" spans="1:24" x14ac:dyDescent="0.4">
      <c r="A32" s="487"/>
      <c r="B32" s="493">
        <f>'Goods and WorksPP'!C36</f>
        <v>0</v>
      </c>
      <c r="C32" s="461">
        <f>'Goods and WorksPP'!D36</f>
        <v>0</v>
      </c>
      <c r="D32" s="456">
        <f>'Goods and WorksPP'!G36</f>
        <v>0</v>
      </c>
      <c r="E32" s="456">
        <f>'Goods and WorksPP'!H36</f>
        <v>0</v>
      </c>
      <c r="F32" s="69" t="str">
        <f>'Goods and WorksPP'!A33</f>
        <v>Actual</v>
      </c>
      <c r="G32" s="93"/>
      <c r="H32" s="93"/>
      <c r="I32" s="93"/>
      <c r="J32" s="465"/>
      <c r="K32" s="462"/>
      <c r="L32" s="472">
        <f>'Goods and WorksPP'!AA36</f>
        <v>0</v>
      </c>
      <c r="M32" s="462"/>
      <c r="N32" s="462"/>
      <c r="O32" s="462"/>
      <c r="P32" s="475"/>
      <c r="Q32" s="462"/>
      <c r="R32" s="462">
        <f>'Goods and WorksPP'!AJ36</f>
        <v>0</v>
      </c>
      <c r="S32" s="462">
        <f>'Goods and WorksPP'!AK36</f>
        <v>0</v>
      </c>
      <c r="T32" s="475"/>
      <c r="U32" s="462">
        <f>'Goods and WorksPP'!AO36</f>
        <v>0</v>
      </c>
      <c r="V32" s="462">
        <f>'Goods and WorksPP'!AP36</f>
        <v>0</v>
      </c>
      <c r="W32" s="462">
        <f>'Goods and WorksPP'!AQ36</f>
        <v>0</v>
      </c>
      <c r="X32" s="460">
        <f>'Goods and WorksPP'!AR36</f>
        <v>0</v>
      </c>
    </row>
    <row r="33" spans="1:24" ht="12.75" customHeight="1" x14ac:dyDescent="0.4">
      <c r="A33" s="487"/>
      <c r="B33" s="493" t="str">
        <f>'Goods and WorksPP'!C37</f>
        <v>BWW3-2-3</v>
      </c>
      <c r="C33" s="461" t="str">
        <f>'Goods and WorksPP'!D37</f>
        <v>Supply, installaion and commissioning of water meters and data acquisition in a pilot zone in Beirut project</v>
      </c>
      <c r="D33" s="456">
        <f>'Goods and WorksPP'!G37</f>
        <v>0.66</v>
      </c>
      <c r="E33" s="456">
        <f>'Goods and WorksPP'!H37</f>
        <v>0.33999999999999997</v>
      </c>
      <c r="F33" s="65" t="str">
        <f>'Goods and WorksPP'!A34</f>
        <v>Planned</v>
      </c>
      <c r="G33" s="91"/>
      <c r="H33" s="91"/>
      <c r="I33" s="91"/>
      <c r="J33" s="463" t="str">
        <f>'Goods and WorksPP'!AG37</f>
        <v>Nazih Braidi Est. for Engineering and Contracting
LEBANON</v>
      </c>
      <c r="K33" s="462"/>
      <c r="L33" s="472" t="str">
        <f>'Goods and WorksPP'!AA37</f>
        <v>USD</v>
      </c>
      <c r="M33" s="462"/>
      <c r="N33" s="462"/>
      <c r="O33" s="462"/>
      <c r="P33" s="473"/>
      <c r="Q33" s="462"/>
      <c r="R33" s="462">
        <f>'Goods and WorksPP'!AJ37</f>
        <v>0</v>
      </c>
      <c r="S33" s="462">
        <f>'Goods and WorksPP'!AK37</f>
        <v>0</v>
      </c>
      <c r="T33" s="473"/>
      <c r="U33" s="462">
        <f>'Goods and WorksPP'!AO37</f>
        <v>0</v>
      </c>
      <c r="V33" s="462">
        <f>'Goods and WorksPP'!AP37</f>
        <v>0</v>
      </c>
      <c r="W33" s="462">
        <f>'Goods and WorksPP'!AQ37</f>
        <v>0</v>
      </c>
      <c r="X33" s="460">
        <f>'Goods and WorksPP'!AR37</f>
        <v>0</v>
      </c>
    </row>
    <row r="34" spans="1:24" x14ac:dyDescent="0.4">
      <c r="A34" s="487"/>
      <c r="B34" s="493">
        <f>'Goods and WorksPP'!C38</f>
        <v>0</v>
      </c>
      <c r="C34" s="461">
        <f>'Goods and WorksPP'!D38</f>
        <v>0</v>
      </c>
      <c r="D34" s="456">
        <f>'Goods and WorksPP'!G38</f>
        <v>0</v>
      </c>
      <c r="E34" s="456">
        <f>'Goods and WorksPP'!H38</f>
        <v>0</v>
      </c>
      <c r="F34" s="68" t="str">
        <f>'Goods and WorksPP'!A35</f>
        <v>Revised</v>
      </c>
      <c r="G34" s="92"/>
      <c r="H34" s="92"/>
      <c r="I34" s="92"/>
      <c r="J34" s="464"/>
      <c r="K34" s="462"/>
      <c r="L34" s="472">
        <f>'Goods and WorksPP'!AA38</f>
        <v>0</v>
      </c>
      <c r="M34" s="462"/>
      <c r="N34" s="462"/>
      <c r="O34" s="462"/>
      <c r="P34" s="474"/>
      <c r="Q34" s="462"/>
      <c r="R34" s="462">
        <f>'Goods and WorksPP'!AJ38</f>
        <v>0</v>
      </c>
      <c r="S34" s="462">
        <f>'Goods and WorksPP'!AK38</f>
        <v>0</v>
      </c>
      <c r="T34" s="474"/>
      <c r="U34" s="462">
        <f>'Goods and WorksPP'!AO38</f>
        <v>0</v>
      </c>
      <c r="V34" s="462">
        <f>'Goods and WorksPP'!AP38</f>
        <v>0</v>
      </c>
      <c r="W34" s="462">
        <f>'Goods and WorksPP'!AQ38</f>
        <v>0</v>
      </c>
      <c r="X34" s="460">
        <f>'Goods and WorksPP'!AR38</f>
        <v>0</v>
      </c>
    </row>
    <row r="35" spans="1:24" ht="55.5" customHeight="1" x14ac:dyDescent="0.4">
      <c r="A35" s="487"/>
      <c r="B35" s="493">
        <f>'Goods and WorksPP'!C39</f>
        <v>0</v>
      </c>
      <c r="C35" s="461">
        <f>'Goods and WorksPP'!D39</f>
        <v>0</v>
      </c>
      <c r="D35" s="456">
        <f>'Goods and WorksPP'!G39</f>
        <v>0</v>
      </c>
      <c r="E35" s="456">
        <f>'Goods and WorksPP'!H39</f>
        <v>0</v>
      </c>
      <c r="F35" s="69" t="str">
        <f>'Goods and WorksPP'!A36</f>
        <v>Actual</v>
      </c>
      <c r="G35" s="93"/>
      <c r="H35" s="93"/>
      <c r="I35" s="93"/>
      <c r="J35" s="465"/>
      <c r="K35" s="462"/>
      <c r="L35" s="472">
        <f>'Goods and WorksPP'!AA39</f>
        <v>0</v>
      </c>
      <c r="M35" s="462"/>
      <c r="N35" s="462"/>
      <c r="O35" s="462"/>
      <c r="P35" s="475"/>
      <c r="Q35" s="462"/>
      <c r="R35" s="462">
        <f>'Goods and WorksPP'!AJ39</f>
        <v>0</v>
      </c>
      <c r="S35" s="462">
        <f>'Goods and WorksPP'!AK39</f>
        <v>0</v>
      </c>
      <c r="T35" s="475"/>
      <c r="U35" s="462">
        <f>'Goods and WorksPP'!AO39</f>
        <v>0</v>
      </c>
      <c r="V35" s="462">
        <f>'Goods and WorksPP'!AP39</f>
        <v>0</v>
      </c>
      <c r="W35" s="462">
        <f>'Goods and WorksPP'!AQ39</f>
        <v>0</v>
      </c>
      <c r="X35" s="460">
        <f>'Goods and WorksPP'!AR39</f>
        <v>0</v>
      </c>
    </row>
    <row r="36" spans="1:24" ht="12.75" customHeight="1" x14ac:dyDescent="0.4">
      <c r="A36" s="487"/>
      <c r="B36" s="493" t="str">
        <f>'Goods and WorksPP'!C40</f>
        <v>BWG3-2-4</v>
      </c>
      <c r="C36" s="461" t="str">
        <f>'Goods and WorksPP'!D40</f>
        <v>Fax machine Shopping</v>
      </c>
      <c r="D36" s="456">
        <f>'Goods and WorksPP'!G40</f>
        <v>0.66</v>
      </c>
      <c r="E36" s="456">
        <f>'Goods and WorksPP'!H40</f>
        <v>0.33999999999999997</v>
      </c>
      <c r="F36" s="65" t="str">
        <f>'Goods and WorksPP'!A31</f>
        <v>Planned</v>
      </c>
      <c r="G36" s="91"/>
      <c r="H36" s="91"/>
      <c r="I36" s="91"/>
      <c r="J36" s="463" t="str">
        <f>'Goods and WorksPP'!AG40</f>
        <v>Sacotel
(Badaro - Lebanon)</v>
      </c>
      <c r="K36" s="462"/>
      <c r="L36" s="472" t="str">
        <f>'Goods and WorksPP'!AA40</f>
        <v>US$</v>
      </c>
      <c r="M36" s="462"/>
      <c r="N36" s="462"/>
      <c r="O36" s="462"/>
      <c r="P36" s="473"/>
      <c r="Q36" s="462"/>
      <c r="R36" s="462">
        <f>'Goods and WorksPP'!AJ40</f>
        <v>0</v>
      </c>
      <c r="S36" s="462">
        <f>'Goods and WorksPP'!AK40</f>
        <v>0</v>
      </c>
      <c r="T36" s="473"/>
      <c r="U36" s="462">
        <f>'Goods and WorksPP'!AO40</f>
        <v>0</v>
      </c>
      <c r="V36" s="462">
        <f>'Goods and WorksPP'!AP40</f>
        <v>0</v>
      </c>
      <c r="W36" s="462">
        <f>'Goods and WorksPP'!AQ40</f>
        <v>0</v>
      </c>
      <c r="X36" s="460">
        <f>'Goods and WorksPP'!AR40</f>
        <v>0</v>
      </c>
    </row>
    <row r="37" spans="1:24" x14ac:dyDescent="0.4">
      <c r="A37" s="487"/>
      <c r="B37" s="493">
        <f>'Goods and WorksPP'!C41</f>
        <v>0</v>
      </c>
      <c r="C37" s="461">
        <f>'Goods and WorksPP'!D41</f>
        <v>0</v>
      </c>
      <c r="D37" s="456">
        <f>'Goods and WorksPP'!G41</f>
        <v>0</v>
      </c>
      <c r="E37" s="456">
        <f>'Goods and WorksPP'!H41</f>
        <v>0</v>
      </c>
      <c r="F37" s="68" t="str">
        <f>'Goods and WorksPP'!A32</f>
        <v>Revised</v>
      </c>
      <c r="G37" s="92"/>
      <c r="H37" s="92"/>
      <c r="I37" s="92"/>
      <c r="J37" s="464"/>
      <c r="K37" s="462"/>
      <c r="L37" s="472">
        <f>'Goods and WorksPP'!AA41</f>
        <v>0</v>
      </c>
      <c r="M37" s="462"/>
      <c r="N37" s="462"/>
      <c r="O37" s="462"/>
      <c r="P37" s="474"/>
      <c r="Q37" s="462"/>
      <c r="R37" s="462">
        <f>'Goods and WorksPP'!AJ41</f>
        <v>0</v>
      </c>
      <c r="S37" s="462">
        <f>'Goods and WorksPP'!AK41</f>
        <v>0</v>
      </c>
      <c r="T37" s="474"/>
      <c r="U37" s="462">
        <f>'Goods and WorksPP'!AO41</f>
        <v>0</v>
      </c>
      <c r="V37" s="462">
        <f>'Goods and WorksPP'!AP41</f>
        <v>0</v>
      </c>
      <c r="W37" s="462">
        <f>'Goods and WorksPP'!AQ41</f>
        <v>0</v>
      </c>
      <c r="X37" s="460">
        <f>'Goods and WorksPP'!AR41</f>
        <v>0</v>
      </c>
    </row>
    <row r="38" spans="1:24" x14ac:dyDescent="0.4">
      <c r="A38" s="487"/>
      <c r="B38" s="493">
        <f>'Goods and WorksPP'!C42</f>
        <v>0</v>
      </c>
      <c r="C38" s="461">
        <f>'Goods and WorksPP'!D42</f>
        <v>0</v>
      </c>
      <c r="D38" s="456">
        <f>'Goods and WorksPP'!G42</f>
        <v>0</v>
      </c>
      <c r="E38" s="456">
        <f>'Goods and WorksPP'!H42</f>
        <v>0</v>
      </c>
      <c r="F38" s="69" t="str">
        <f>'Goods and WorksPP'!A33</f>
        <v>Actual</v>
      </c>
      <c r="G38" s="93"/>
      <c r="H38" s="93"/>
      <c r="I38" s="93"/>
      <c r="J38" s="465"/>
      <c r="K38" s="462"/>
      <c r="L38" s="472">
        <f>'Goods and WorksPP'!AA42</f>
        <v>0</v>
      </c>
      <c r="M38" s="462"/>
      <c r="N38" s="462"/>
      <c r="O38" s="462"/>
      <c r="P38" s="475"/>
      <c r="Q38" s="462"/>
      <c r="R38" s="462">
        <f>'Goods and WorksPP'!AJ42</f>
        <v>0</v>
      </c>
      <c r="S38" s="462">
        <f>'Goods and WorksPP'!AK42</f>
        <v>0</v>
      </c>
      <c r="T38" s="475"/>
      <c r="U38" s="462">
        <f>'Goods and WorksPP'!AO42</f>
        <v>0</v>
      </c>
      <c r="V38" s="462">
        <f>'Goods and WorksPP'!AP42</f>
        <v>0</v>
      </c>
      <c r="W38" s="462">
        <f>'Goods and WorksPP'!AQ42</f>
        <v>0</v>
      </c>
      <c r="X38" s="460">
        <f>'Goods and WorksPP'!AR42</f>
        <v>0</v>
      </c>
    </row>
    <row r="39" spans="1:24" x14ac:dyDescent="0.4">
      <c r="A39" s="487"/>
      <c r="B39" s="493" t="str">
        <f>'Goods and WorksPP'!C43</f>
        <v>BWG3-2-5</v>
      </c>
      <c r="C39" s="461" t="str">
        <f>'Goods and WorksPP'!D43</f>
        <v>Computers Shopping</v>
      </c>
      <c r="D39" s="456">
        <f>'Goods and WorksPP'!G43</f>
        <v>0.66</v>
      </c>
      <c r="E39" s="456">
        <f>'Goods and WorksPP'!H43</f>
        <v>0.33999999999999997</v>
      </c>
      <c r="F39" s="65" t="str">
        <f>'Goods and WorksPP'!A40</f>
        <v>Planned</v>
      </c>
      <c r="G39" s="91"/>
      <c r="H39" s="91"/>
      <c r="I39" s="91"/>
      <c r="J39" s="463" t="str">
        <f>'Goods and WorksPP'!AG43</f>
        <v>HCC Hannoun
 Computer Co
Lebanon</v>
      </c>
      <c r="K39" s="462"/>
      <c r="L39" s="472" t="str">
        <f>'Goods and WorksPP'!AA43</f>
        <v>US$</v>
      </c>
      <c r="M39" s="462">
        <f>'Goods and WorksPP'!AB43</f>
        <v>0</v>
      </c>
      <c r="N39" s="462">
        <f>'Goods and WorksPP'!AC43</f>
        <v>0</v>
      </c>
      <c r="O39" s="462">
        <f>'Goods and WorksPP'!AD43</f>
        <v>0</v>
      </c>
      <c r="P39" s="473"/>
      <c r="Q39" s="462">
        <f>'Goods and WorksPP'!AI43</f>
        <v>0</v>
      </c>
      <c r="R39" s="462">
        <f>'Goods and WorksPP'!AJ43</f>
        <v>0</v>
      </c>
      <c r="S39" s="462">
        <f>'Goods and WorksPP'!AK43</f>
        <v>0</v>
      </c>
      <c r="T39" s="473"/>
      <c r="U39" s="462">
        <f>'Goods and WorksPP'!AO43</f>
        <v>0</v>
      </c>
      <c r="V39" s="462">
        <f>'Goods and WorksPP'!AP43</f>
        <v>0</v>
      </c>
      <c r="W39" s="462">
        <f>'Goods and WorksPP'!AQ43</f>
        <v>0</v>
      </c>
      <c r="X39" s="460">
        <f>'Goods and WorksPP'!AR43</f>
        <v>0</v>
      </c>
    </row>
    <row r="40" spans="1:24" x14ac:dyDescent="0.4">
      <c r="A40" s="487"/>
      <c r="B40" s="493">
        <f>'Goods and WorksPP'!C44</f>
        <v>0</v>
      </c>
      <c r="C40" s="461">
        <f>'Goods and WorksPP'!D44</f>
        <v>0</v>
      </c>
      <c r="D40" s="456">
        <f>'Goods and WorksPP'!G44</f>
        <v>0</v>
      </c>
      <c r="E40" s="456">
        <f>'Goods and WorksPP'!H44</f>
        <v>0</v>
      </c>
      <c r="F40" s="68" t="str">
        <f>'Goods and WorksPP'!A41</f>
        <v>Revised</v>
      </c>
      <c r="G40" s="92"/>
      <c r="H40" s="92"/>
      <c r="I40" s="92"/>
      <c r="J40" s="464"/>
      <c r="K40" s="462"/>
      <c r="L40" s="472">
        <f>'Goods and WorksPP'!AA44</f>
        <v>0</v>
      </c>
      <c r="M40" s="462">
        <f>'Goods and WorksPP'!AB44</f>
        <v>0</v>
      </c>
      <c r="N40" s="462">
        <f>'Goods and WorksPP'!AC44</f>
        <v>0</v>
      </c>
      <c r="O40" s="462">
        <f>'Goods and WorksPP'!AD44</f>
        <v>0</v>
      </c>
      <c r="P40" s="474"/>
      <c r="Q40" s="462">
        <f>'Goods and WorksPP'!AI44</f>
        <v>0</v>
      </c>
      <c r="R40" s="462">
        <f>'Goods and WorksPP'!AJ44</f>
        <v>0</v>
      </c>
      <c r="S40" s="462">
        <f>'Goods and WorksPP'!AK44</f>
        <v>0</v>
      </c>
      <c r="T40" s="474"/>
      <c r="U40" s="462">
        <f>'Goods and WorksPP'!AO44</f>
        <v>0</v>
      </c>
      <c r="V40" s="462">
        <f>'Goods and WorksPP'!AP44</f>
        <v>0</v>
      </c>
      <c r="W40" s="462">
        <f>'Goods and WorksPP'!AQ44</f>
        <v>0</v>
      </c>
      <c r="X40" s="460">
        <f>'Goods and WorksPP'!AR44</f>
        <v>0</v>
      </c>
    </row>
    <row r="41" spans="1:24" x14ac:dyDescent="0.4">
      <c r="A41" s="487"/>
      <c r="B41" s="493">
        <f>'Goods and WorksPP'!C45</f>
        <v>0</v>
      </c>
      <c r="C41" s="461">
        <f>'Goods and WorksPP'!D45</f>
        <v>0</v>
      </c>
      <c r="D41" s="456">
        <f>'Goods and WorksPP'!G45</f>
        <v>0</v>
      </c>
      <c r="E41" s="456">
        <f>'Goods and WorksPP'!H45</f>
        <v>0</v>
      </c>
      <c r="F41" s="69" t="str">
        <f>'Goods and WorksPP'!A42</f>
        <v>Actual</v>
      </c>
      <c r="G41" s="93"/>
      <c r="H41" s="93"/>
      <c r="I41" s="93"/>
      <c r="J41" s="465"/>
      <c r="K41" s="462"/>
      <c r="L41" s="472">
        <f>'Goods and WorksPP'!AA45</f>
        <v>0</v>
      </c>
      <c r="M41" s="462">
        <f>'Goods and WorksPP'!AB45</f>
        <v>0</v>
      </c>
      <c r="N41" s="462">
        <f>'Goods and WorksPP'!AC45</f>
        <v>0</v>
      </c>
      <c r="O41" s="462">
        <f>'Goods and WorksPP'!AD45</f>
        <v>0</v>
      </c>
      <c r="P41" s="475"/>
      <c r="Q41" s="462">
        <f>'Goods and WorksPP'!AI45</f>
        <v>0</v>
      </c>
      <c r="R41" s="462">
        <f>'Goods and WorksPP'!AJ45</f>
        <v>0</v>
      </c>
      <c r="S41" s="462">
        <f>'Goods and WorksPP'!AK45</f>
        <v>0</v>
      </c>
      <c r="T41" s="475"/>
      <c r="U41" s="462">
        <f>'Goods and WorksPP'!AO45</f>
        <v>0</v>
      </c>
      <c r="V41" s="462">
        <f>'Goods and WorksPP'!AP45</f>
        <v>0</v>
      </c>
      <c r="W41" s="462">
        <f>'Goods and WorksPP'!AQ45</f>
        <v>0</v>
      </c>
      <c r="X41" s="460">
        <f>'Goods and WorksPP'!AR45</f>
        <v>0</v>
      </c>
    </row>
    <row r="42" spans="1:24" x14ac:dyDescent="0.4">
      <c r="A42" s="487"/>
      <c r="B42" s="493" t="str">
        <f>'Goods and WorksPP'!C46</f>
        <v>BWG3-2-14</v>
      </c>
      <c r="C42" s="461" t="str">
        <f>'Goods and WorksPP'!D46</f>
        <v>Photocopy machine
Multi feeder</v>
      </c>
      <c r="D42" s="456">
        <f>'Goods and WorksPP'!G46</f>
        <v>0.66</v>
      </c>
      <c r="E42" s="456">
        <f>'Goods and WorksPP'!H46</f>
        <v>0.33999999999999997</v>
      </c>
      <c r="F42" s="65" t="str">
        <f>'Goods and WorksPP'!A43</f>
        <v>Planned</v>
      </c>
      <c r="G42" s="91"/>
      <c r="H42" s="91"/>
      <c r="I42" s="91"/>
      <c r="J42" s="463"/>
      <c r="K42" s="462"/>
      <c r="L42" s="472">
        <f>'Goods and WorksPP'!AA46</f>
        <v>0</v>
      </c>
      <c r="M42" s="462">
        <f>'Goods and WorksPP'!AB46</f>
        <v>0</v>
      </c>
      <c r="N42" s="462">
        <f>'Goods and WorksPP'!AC46</f>
        <v>0</v>
      </c>
      <c r="O42" s="462">
        <f>'Goods and WorksPP'!AD46</f>
        <v>0</v>
      </c>
      <c r="P42" s="473"/>
      <c r="Q42" s="462">
        <f>'Goods and WorksPP'!AI46</f>
        <v>0</v>
      </c>
      <c r="R42" s="462">
        <f>'Goods and WorksPP'!AJ46</f>
        <v>0</v>
      </c>
      <c r="S42" s="462">
        <f>'Goods and WorksPP'!AK46</f>
        <v>0</v>
      </c>
      <c r="T42" s="473"/>
      <c r="U42" s="462">
        <f>'Goods and WorksPP'!AO46</f>
        <v>0</v>
      </c>
      <c r="V42" s="462">
        <f>'Goods and WorksPP'!AP46</f>
        <v>0</v>
      </c>
      <c r="W42" s="462">
        <f>'Goods and WorksPP'!AQ46</f>
        <v>0</v>
      </c>
      <c r="X42" s="460">
        <f>'Goods and WorksPP'!AR46</f>
        <v>0</v>
      </c>
    </row>
    <row r="43" spans="1:24" x14ac:dyDescent="0.4">
      <c r="A43" s="487"/>
      <c r="B43" s="493">
        <f>'Goods and WorksPP'!C47</f>
        <v>0</v>
      </c>
      <c r="C43" s="461">
        <f>'Goods and WorksPP'!D47</f>
        <v>0</v>
      </c>
      <c r="D43" s="456">
        <f>'Goods and WorksPP'!G47</f>
        <v>0</v>
      </c>
      <c r="E43" s="456">
        <f>'Goods and WorksPP'!H47</f>
        <v>0</v>
      </c>
      <c r="F43" s="68" t="str">
        <f>'Goods and WorksPP'!A44</f>
        <v>Revised</v>
      </c>
      <c r="G43" s="92"/>
      <c r="H43" s="92"/>
      <c r="I43" s="92"/>
      <c r="J43" s="464"/>
      <c r="K43" s="462"/>
      <c r="L43" s="472">
        <f>'Goods and WorksPP'!AA47</f>
        <v>0</v>
      </c>
      <c r="M43" s="462">
        <f>'Goods and WorksPP'!AB47</f>
        <v>0</v>
      </c>
      <c r="N43" s="462">
        <f>'Goods and WorksPP'!AC47</f>
        <v>0</v>
      </c>
      <c r="O43" s="462">
        <f>'Goods and WorksPP'!AD47</f>
        <v>0</v>
      </c>
      <c r="P43" s="474"/>
      <c r="Q43" s="462">
        <f>'Goods and WorksPP'!AI47</f>
        <v>0</v>
      </c>
      <c r="R43" s="462">
        <f>'Goods and WorksPP'!AJ47</f>
        <v>0</v>
      </c>
      <c r="S43" s="462">
        <f>'Goods and WorksPP'!AK47</f>
        <v>0</v>
      </c>
      <c r="T43" s="474"/>
      <c r="U43" s="462">
        <f>'Goods and WorksPP'!AO47</f>
        <v>0</v>
      </c>
      <c r="V43" s="462">
        <f>'Goods and WorksPP'!AP47</f>
        <v>0</v>
      </c>
      <c r="W43" s="462">
        <f>'Goods and WorksPP'!AQ47</f>
        <v>0</v>
      </c>
      <c r="X43" s="460">
        <f>'Goods and WorksPP'!AR47</f>
        <v>0</v>
      </c>
    </row>
    <row r="44" spans="1:24" x14ac:dyDescent="0.4">
      <c r="A44" s="487"/>
      <c r="B44" s="493">
        <f>'Goods and WorksPP'!C48</f>
        <v>0</v>
      </c>
      <c r="C44" s="461">
        <f>'Goods and WorksPP'!D48</f>
        <v>0</v>
      </c>
      <c r="D44" s="456">
        <f>'Goods and WorksPP'!G48</f>
        <v>0</v>
      </c>
      <c r="E44" s="456">
        <f>'Goods and WorksPP'!H48</f>
        <v>0</v>
      </c>
      <c r="F44" s="69" t="str">
        <f>'Goods and WorksPP'!A45</f>
        <v>Actual</v>
      </c>
      <c r="G44" s="93"/>
      <c r="H44" s="93"/>
      <c r="I44" s="93"/>
      <c r="J44" s="465"/>
      <c r="K44" s="462"/>
      <c r="L44" s="472">
        <f>'Goods and WorksPP'!AA48</f>
        <v>0</v>
      </c>
      <c r="M44" s="462">
        <f>'Goods and WorksPP'!AB48</f>
        <v>0</v>
      </c>
      <c r="N44" s="462">
        <f>'Goods and WorksPP'!AC48</f>
        <v>0</v>
      </c>
      <c r="O44" s="462">
        <f>'Goods and WorksPP'!AD48</f>
        <v>0</v>
      </c>
      <c r="P44" s="475"/>
      <c r="Q44" s="462">
        <f>'Goods and WorksPP'!AI48</f>
        <v>0</v>
      </c>
      <c r="R44" s="462">
        <f>'Goods and WorksPP'!AJ48</f>
        <v>0</v>
      </c>
      <c r="S44" s="462">
        <f>'Goods and WorksPP'!AK48</f>
        <v>0</v>
      </c>
      <c r="T44" s="475"/>
      <c r="U44" s="462">
        <f>'Goods and WorksPP'!AO48</f>
        <v>0</v>
      </c>
      <c r="V44" s="462">
        <f>'Goods and WorksPP'!AP48</f>
        <v>0</v>
      </c>
      <c r="W44" s="462">
        <f>'Goods and WorksPP'!AQ48</f>
        <v>0</v>
      </c>
      <c r="X44" s="460">
        <f>'Goods and WorksPP'!AR48</f>
        <v>0</v>
      </c>
    </row>
    <row r="45" spans="1:24" x14ac:dyDescent="0.4">
      <c r="A45" s="487"/>
      <c r="B45" s="493" t="str">
        <f>'Goods and WorksPP'!C49</f>
        <v>BWW3-4</v>
      </c>
      <c r="C45" s="461" t="str">
        <f>'Goods and WorksPP'!D49</f>
        <v>DMA and leak detection</v>
      </c>
      <c r="D45" s="456">
        <f>'Goods and WorksPP'!G49</f>
        <v>1</v>
      </c>
      <c r="E45" s="456">
        <f>'Goods and WorksPP'!H49</f>
        <v>0</v>
      </c>
      <c r="F45" s="65" t="str">
        <f>'Goods and WorksPP'!A46</f>
        <v>Planned</v>
      </c>
      <c r="G45" s="91"/>
      <c r="H45" s="91"/>
      <c r="I45" s="91"/>
      <c r="J45" s="463"/>
      <c r="K45" s="462"/>
      <c r="L45" s="472">
        <f>'Goods and WorksPP'!AA49</f>
        <v>0</v>
      </c>
      <c r="M45" s="462">
        <f>'Goods and WorksPP'!AB49</f>
        <v>0</v>
      </c>
      <c r="N45" s="462">
        <f>'Goods and WorksPP'!AC49</f>
        <v>0</v>
      </c>
      <c r="O45" s="462">
        <f>'Goods and WorksPP'!AD49</f>
        <v>0</v>
      </c>
      <c r="P45" s="473"/>
      <c r="Q45" s="462">
        <f>'Goods and WorksPP'!AI49</f>
        <v>0</v>
      </c>
      <c r="R45" s="462">
        <f>'Goods and WorksPP'!AJ49</f>
        <v>0</v>
      </c>
      <c r="S45" s="462">
        <f>'Goods and WorksPP'!AK49</f>
        <v>0</v>
      </c>
      <c r="T45" s="473"/>
      <c r="U45" s="462">
        <f>'Goods and WorksPP'!AO49</f>
        <v>0</v>
      </c>
      <c r="V45" s="462">
        <f>'Goods and WorksPP'!AP49</f>
        <v>0</v>
      </c>
      <c r="W45" s="462">
        <f>'Goods and WorksPP'!AQ49</f>
        <v>0</v>
      </c>
      <c r="X45" s="460">
        <f>'Goods and WorksPP'!AR49</f>
        <v>0</v>
      </c>
    </row>
    <row r="46" spans="1:24" x14ac:dyDescent="0.4">
      <c r="A46" s="487"/>
      <c r="B46" s="493">
        <f>'Goods and WorksPP'!C50</f>
        <v>0</v>
      </c>
      <c r="C46" s="461">
        <f>'Goods and WorksPP'!D50</f>
        <v>0</v>
      </c>
      <c r="D46" s="456">
        <f>'Goods and WorksPP'!G50</f>
        <v>0</v>
      </c>
      <c r="E46" s="456">
        <f>'Goods and WorksPP'!H50</f>
        <v>0</v>
      </c>
      <c r="F46" s="68" t="str">
        <f>'Goods and WorksPP'!A47</f>
        <v>Revised</v>
      </c>
      <c r="G46" s="92"/>
      <c r="H46" s="92"/>
      <c r="I46" s="92"/>
      <c r="J46" s="464"/>
      <c r="K46" s="462"/>
      <c r="L46" s="472">
        <f>'Goods and WorksPP'!AA50</f>
        <v>0</v>
      </c>
      <c r="M46" s="462">
        <f>'Goods and WorksPP'!AB50</f>
        <v>0</v>
      </c>
      <c r="N46" s="462">
        <f>'Goods and WorksPP'!AC50</f>
        <v>0</v>
      </c>
      <c r="O46" s="462">
        <f>'Goods and WorksPP'!AD50</f>
        <v>0</v>
      </c>
      <c r="P46" s="474"/>
      <c r="Q46" s="462">
        <f>'Goods and WorksPP'!AI50</f>
        <v>0</v>
      </c>
      <c r="R46" s="462">
        <f>'Goods and WorksPP'!AJ50</f>
        <v>0</v>
      </c>
      <c r="S46" s="462">
        <f>'Goods and WorksPP'!AK50</f>
        <v>0</v>
      </c>
      <c r="T46" s="474"/>
      <c r="U46" s="462">
        <f>'Goods and WorksPP'!AO50</f>
        <v>0</v>
      </c>
      <c r="V46" s="462">
        <f>'Goods and WorksPP'!AP50</f>
        <v>0</v>
      </c>
      <c r="W46" s="462">
        <f>'Goods and WorksPP'!AQ50</f>
        <v>0</v>
      </c>
      <c r="X46" s="460">
        <f>'Goods and WorksPP'!AR50</f>
        <v>0</v>
      </c>
    </row>
    <row r="47" spans="1:24" x14ac:dyDescent="0.4">
      <c r="A47" s="487"/>
      <c r="B47" s="493">
        <f>'Goods and WorksPP'!C51</f>
        <v>0</v>
      </c>
      <c r="C47" s="461">
        <f>'Goods and WorksPP'!D51</f>
        <v>0</v>
      </c>
      <c r="D47" s="456">
        <f>'Goods and WorksPP'!G51</f>
        <v>0</v>
      </c>
      <c r="E47" s="456">
        <f>'Goods and WorksPP'!H51</f>
        <v>0</v>
      </c>
      <c r="F47" s="69" t="str">
        <f>'Goods and WorksPP'!A48</f>
        <v>Actual</v>
      </c>
      <c r="G47" s="93"/>
      <c r="H47" s="93"/>
      <c r="I47" s="93"/>
      <c r="J47" s="465"/>
      <c r="K47" s="462"/>
      <c r="L47" s="472">
        <f>'Goods and WorksPP'!AA51</f>
        <v>0</v>
      </c>
      <c r="M47" s="462">
        <f>'Goods and WorksPP'!AB51</f>
        <v>0</v>
      </c>
      <c r="N47" s="462">
        <f>'Goods and WorksPP'!AC51</f>
        <v>0</v>
      </c>
      <c r="O47" s="462">
        <f>'Goods and WorksPP'!AD51</f>
        <v>0</v>
      </c>
      <c r="P47" s="475"/>
      <c r="Q47" s="462">
        <f>'Goods and WorksPP'!AI51</f>
        <v>0</v>
      </c>
      <c r="R47" s="462">
        <f>'Goods and WorksPP'!AJ51</f>
        <v>0</v>
      </c>
      <c r="S47" s="462">
        <f>'Goods and WorksPP'!AK51</f>
        <v>0</v>
      </c>
      <c r="T47" s="475"/>
      <c r="U47" s="462">
        <f>'Goods and WorksPP'!AO51</f>
        <v>0</v>
      </c>
      <c r="V47" s="462">
        <f>'Goods and WorksPP'!AP51</f>
        <v>0</v>
      </c>
      <c r="W47" s="462">
        <f>'Goods and WorksPP'!AQ51</f>
        <v>0</v>
      </c>
      <c r="X47" s="460">
        <f>'Goods and WorksPP'!AR51</f>
        <v>0</v>
      </c>
    </row>
    <row r="48" spans="1:24" hidden="1" x14ac:dyDescent="0.4">
      <c r="A48" s="487"/>
      <c r="B48" s="493" t="str">
        <f>'Goods and WorksPP'!C52</f>
        <v>BWW3-5</v>
      </c>
      <c r="C48" s="461" t="str">
        <f>'Goods and WorksPP'!D52</f>
        <v>Coastal Metn DMA and leak detection</v>
      </c>
      <c r="D48" s="456">
        <f>'Goods and WorksPP'!G52</f>
        <v>1</v>
      </c>
      <c r="E48" s="456">
        <f>'Goods and WorksPP'!H52</f>
        <v>0</v>
      </c>
      <c r="F48" s="65" t="str">
        <f>'Goods and WorksPP'!A49</f>
        <v>Planned</v>
      </c>
      <c r="G48" s="91"/>
      <c r="H48" s="91"/>
      <c r="I48" s="91"/>
      <c r="J48" s="385"/>
      <c r="K48" s="462"/>
      <c r="L48" s="472">
        <f>'Goods and WorksPP'!AA52</f>
        <v>0</v>
      </c>
      <c r="M48" s="462">
        <f>'Goods and WorksPP'!AB52</f>
        <v>0</v>
      </c>
      <c r="N48" s="462">
        <f>'Goods and WorksPP'!AC52</f>
        <v>0</v>
      </c>
      <c r="O48" s="462">
        <f>'Goods and WorksPP'!AD52</f>
        <v>0</v>
      </c>
      <c r="P48" s="473"/>
      <c r="Q48" s="462">
        <f>'Goods and WorksPP'!AI52</f>
        <v>0</v>
      </c>
      <c r="R48" s="462">
        <f>'Goods and WorksPP'!AJ52</f>
        <v>0</v>
      </c>
      <c r="S48" s="462">
        <f>'Goods and WorksPP'!AK52</f>
        <v>0</v>
      </c>
      <c r="T48" s="473"/>
      <c r="U48" s="462">
        <f>'Goods and WorksPP'!AO52</f>
        <v>0</v>
      </c>
      <c r="V48" s="462">
        <f>'Goods and WorksPP'!AP52</f>
        <v>0</v>
      </c>
      <c r="W48" s="462">
        <f>'Goods and WorksPP'!AQ52</f>
        <v>0</v>
      </c>
      <c r="X48" s="460">
        <f>'Goods and WorksPP'!AR52</f>
        <v>0</v>
      </c>
    </row>
    <row r="49" spans="1:24" hidden="1" x14ac:dyDescent="0.4">
      <c r="A49" s="487"/>
      <c r="B49" s="493">
        <f>'Goods and WorksPP'!C53</f>
        <v>0</v>
      </c>
      <c r="C49" s="461">
        <f>'Goods and WorksPP'!D53</f>
        <v>0</v>
      </c>
      <c r="D49" s="456">
        <f>'Goods and WorksPP'!G53</f>
        <v>0</v>
      </c>
      <c r="E49" s="456">
        <f>'Goods and WorksPP'!H53</f>
        <v>0</v>
      </c>
      <c r="F49" s="68" t="str">
        <f>'Goods and WorksPP'!A50</f>
        <v>Revised</v>
      </c>
      <c r="G49" s="92"/>
      <c r="H49" s="92"/>
      <c r="I49" s="92"/>
      <c r="J49" s="386"/>
      <c r="K49" s="462"/>
      <c r="L49" s="472">
        <f>'Goods and WorksPP'!AA53</f>
        <v>0</v>
      </c>
      <c r="M49" s="462">
        <f>'Goods and WorksPP'!AB53</f>
        <v>0</v>
      </c>
      <c r="N49" s="462">
        <f>'Goods and WorksPP'!AC53</f>
        <v>0</v>
      </c>
      <c r="O49" s="462">
        <f>'Goods and WorksPP'!AD53</f>
        <v>0</v>
      </c>
      <c r="P49" s="474"/>
      <c r="Q49" s="462">
        <f>'Goods and WorksPP'!AI53</f>
        <v>0</v>
      </c>
      <c r="R49" s="462">
        <f>'Goods and WorksPP'!AJ53</f>
        <v>0</v>
      </c>
      <c r="S49" s="462">
        <f>'Goods and WorksPP'!AK53</f>
        <v>0</v>
      </c>
      <c r="T49" s="474"/>
      <c r="U49" s="462">
        <f>'Goods and WorksPP'!AO53</f>
        <v>0</v>
      </c>
      <c r="V49" s="462">
        <f>'Goods and WorksPP'!AP53</f>
        <v>0</v>
      </c>
      <c r="W49" s="462">
        <f>'Goods and WorksPP'!AQ53</f>
        <v>0</v>
      </c>
      <c r="X49" s="460">
        <f>'Goods and WorksPP'!AR53</f>
        <v>0</v>
      </c>
    </row>
    <row r="50" spans="1:24" hidden="1" x14ac:dyDescent="0.4">
      <c r="A50" s="487"/>
      <c r="B50" s="493">
        <f>'Goods and WorksPP'!C54</f>
        <v>0</v>
      </c>
      <c r="C50" s="461">
        <f>'Goods and WorksPP'!D54</f>
        <v>0</v>
      </c>
      <c r="D50" s="456">
        <f>'Goods and WorksPP'!G54</f>
        <v>0</v>
      </c>
      <c r="E50" s="456">
        <f>'Goods and WorksPP'!H54</f>
        <v>0</v>
      </c>
      <c r="F50" s="69" t="str">
        <f>'Goods and WorksPP'!A51</f>
        <v>Actual</v>
      </c>
      <c r="G50" s="93"/>
      <c r="H50" s="93"/>
      <c r="I50" s="93"/>
      <c r="J50" s="387"/>
      <c r="K50" s="462"/>
      <c r="L50" s="472">
        <f>'Goods and WorksPP'!AA54</f>
        <v>0</v>
      </c>
      <c r="M50" s="462">
        <f>'Goods and WorksPP'!AB54</f>
        <v>0</v>
      </c>
      <c r="N50" s="462">
        <f>'Goods and WorksPP'!AC54</f>
        <v>0</v>
      </c>
      <c r="O50" s="462">
        <f>'Goods and WorksPP'!AD54</f>
        <v>0</v>
      </c>
      <c r="P50" s="475"/>
      <c r="Q50" s="462">
        <f>'Goods and WorksPP'!AI54</f>
        <v>0</v>
      </c>
      <c r="R50" s="462">
        <f>'Goods and WorksPP'!AJ54</f>
        <v>0</v>
      </c>
      <c r="S50" s="462">
        <f>'Goods and WorksPP'!AK54</f>
        <v>0</v>
      </c>
      <c r="T50" s="475"/>
      <c r="U50" s="462">
        <f>'Goods and WorksPP'!AO54</f>
        <v>0</v>
      </c>
      <c r="V50" s="462">
        <f>'Goods and WorksPP'!AP54</f>
        <v>0</v>
      </c>
      <c r="W50" s="462">
        <f>'Goods and WorksPP'!AQ54</f>
        <v>0</v>
      </c>
      <c r="X50" s="460">
        <f>'Goods and WorksPP'!AR54</f>
        <v>0</v>
      </c>
    </row>
    <row r="51" spans="1:24" hidden="1" x14ac:dyDescent="0.4">
      <c r="A51" s="487"/>
      <c r="B51" s="493" t="str">
        <f>'Goods and WorksPP'!C55</f>
        <v>BWW3-6</v>
      </c>
      <c r="C51" s="461" t="str">
        <f>'Goods and WorksPP'!D55</f>
        <v>Water Meters</v>
      </c>
      <c r="D51" s="456">
        <f>'Goods and WorksPP'!G55</f>
        <v>1</v>
      </c>
      <c r="E51" s="456">
        <f>'Goods and WorksPP'!H55</f>
        <v>0</v>
      </c>
      <c r="F51" s="65" t="str">
        <f>'Goods and WorksPP'!A52</f>
        <v>Planned</v>
      </c>
      <c r="G51" s="91"/>
      <c r="H51" s="91"/>
      <c r="I51" s="91"/>
      <c r="J51" s="463"/>
      <c r="K51" s="462"/>
      <c r="L51" s="472">
        <f>'Goods and WorksPP'!AA55</f>
        <v>0</v>
      </c>
      <c r="M51" s="462">
        <f>'Goods and WorksPP'!AB55</f>
        <v>0</v>
      </c>
      <c r="N51" s="462">
        <f>'Goods and WorksPP'!AC55</f>
        <v>0</v>
      </c>
      <c r="O51" s="462">
        <f>'Goods and WorksPP'!AD55</f>
        <v>0</v>
      </c>
      <c r="P51" s="473"/>
      <c r="Q51" s="462">
        <f>'Goods and WorksPP'!AI55</f>
        <v>0</v>
      </c>
      <c r="R51" s="462">
        <f>'Goods and WorksPP'!AJ55</f>
        <v>0</v>
      </c>
      <c r="S51" s="462">
        <f>'Goods and WorksPP'!AK55</f>
        <v>0</v>
      </c>
      <c r="T51" s="473"/>
      <c r="U51" s="462">
        <f>'Goods and WorksPP'!AO55</f>
        <v>0</v>
      </c>
      <c r="V51" s="462">
        <f>'Goods and WorksPP'!AP55</f>
        <v>0</v>
      </c>
      <c r="W51" s="462">
        <f>'Goods and WorksPP'!AQ55</f>
        <v>0</v>
      </c>
      <c r="X51" s="460">
        <f>'Goods and WorksPP'!AR55</f>
        <v>0</v>
      </c>
    </row>
    <row r="52" spans="1:24" hidden="1" x14ac:dyDescent="0.4">
      <c r="A52" s="487"/>
      <c r="B52" s="493">
        <f>'Goods and WorksPP'!C56</f>
        <v>0</v>
      </c>
      <c r="C52" s="461">
        <f>'Goods and WorksPP'!D56</f>
        <v>0</v>
      </c>
      <c r="D52" s="456">
        <f>'Goods and WorksPP'!G56</f>
        <v>0</v>
      </c>
      <c r="E52" s="456">
        <f>'Goods and WorksPP'!H56</f>
        <v>0</v>
      </c>
      <c r="F52" s="68" t="str">
        <f>'Goods and WorksPP'!A53</f>
        <v>Revised</v>
      </c>
      <c r="G52" s="92"/>
      <c r="H52" s="92"/>
      <c r="I52" s="92"/>
      <c r="J52" s="464"/>
      <c r="K52" s="462"/>
      <c r="L52" s="472">
        <f>'Goods and WorksPP'!AA56</f>
        <v>0</v>
      </c>
      <c r="M52" s="462">
        <f>'Goods and WorksPP'!AB56</f>
        <v>0</v>
      </c>
      <c r="N52" s="462">
        <f>'Goods and WorksPP'!AC56</f>
        <v>0</v>
      </c>
      <c r="O52" s="462">
        <f>'Goods and WorksPP'!AD56</f>
        <v>0</v>
      </c>
      <c r="P52" s="474"/>
      <c r="Q52" s="462">
        <f>'Goods and WorksPP'!AI56</f>
        <v>0</v>
      </c>
      <c r="R52" s="462">
        <f>'Goods and WorksPP'!AJ56</f>
        <v>0</v>
      </c>
      <c r="S52" s="462">
        <f>'Goods and WorksPP'!AK56</f>
        <v>0</v>
      </c>
      <c r="T52" s="474"/>
      <c r="U52" s="462">
        <f>'Goods and WorksPP'!AO56</f>
        <v>0</v>
      </c>
      <c r="V52" s="462">
        <f>'Goods and WorksPP'!AP56</f>
        <v>0</v>
      </c>
      <c r="W52" s="462">
        <f>'Goods and WorksPP'!AQ56</f>
        <v>0</v>
      </c>
      <c r="X52" s="460">
        <f>'Goods and WorksPP'!AR56</f>
        <v>0</v>
      </c>
    </row>
    <row r="53" spans="1:24" hidden="1" x14ac:dyDescent="0.4">
      <c r="A53" s="487"/>
      <c r="B53" s="493">
        <f>'Goods and WorksPP'!C57</f>
        <v>0</v>
      </c>
      <c r="C53" s="461">
        <f>'Goods and WorksPP'!D57</f>
        <v>0</v>
      </c>
      <c r="D53" s="456">
        <f>'Goods and WorksPP'!G57</f>
        <v>0</v>
      </c>
      <c r="E53" s="456">
        <f>'Goods and WorksPP'!H57</f>
        <v>0</v>
      </c>
      <c r="F53" s="69" t="str">
        <f>'Goods and WorksPP'!A54</f>
        <v>Actual</v>
      </c>
      <c r="G53" s="93"/>
      <c r="H53" s="93"/>
      <c r="I53" s="93"/>
      <c r="J53" s="465"/>
      <c r="K53" s="462"/>
      <c r="L53" s="472">
        <f>'Goods and WorksPP'!AA57</f>
        <v>0</v>
      </c>
      <c r="M53" s="462">
        <f>'Goods and WorksPP'!AB57</f>
        <v>0</v>
      </c>
      <c r="N53" s="462">
        <f>'Goods and WorksPP'!AC57</f>
        <v>0</v>
      </c>
      <c r="O53" s="462">
        <f>'Goods and WorksPP'!AD57</f>
        <v>0</v>
      </c>
      <c r="P53" s="475"/>
      <c r="Q53" s="462">
        <f>'Goods and WorksPP'!AI57</f>
        <v>0</v>
      </c>
      <c r="R53" s="462">
        <f>'Goods and WorksPP'!AJ57</f>
        <v>0</v>
      </c>
      <c r="S53" s="462">
        <f>'Goods and WorksPP'!AK57</f>
        <v>0</v>
      </c>
      <c r="T53" s="475"/>
      <c r="U53" s="462">
        <f>'Goods and WorksPP'!AO57</f>
        <v>0</v>
      </c>
      <c r="V53" s="462">
        <f>'Goods and WorksPP'!AP57</f>
        <v>0</v>
      </c>
      <c r="W53" s="462">
        <f>'Goods and WorksPP'!AQ57</f>
        <v>0</v>
      </c>
      <c r="X53" s="460">
        <f>'Goods and WorksPP'!AR57</f>
        <v>0</v>
      </c>
    </row>
    <row r="54" spans="1:24" hidden="1" x14ac:dyDescent="0.4">
      <c r="A54" s="487"/>
      <c r="B54" s="493" t="str">
        <f>'Goods and WorksPP'!C58</f>
        <v>BWW3-7</v>
      </c>
      <c r="C54" s="461" t="str">
        <f>'Goods and WorksPP'!D58</f>
        <v>Coastal Metn Water Meters</v>
      </c>
      <c r="D54" s="456">
        <f>'Goods and WorksPP'!G58</f>
        <v>1</v>
      </c>
      <c r="E54" s="456">
        <f>'Goods and WorksPP'!H58</f>
        <v>0</v>
      </c>
      <c r="F54" s="65" t="str">
        <f>'Goods and WorksPP'!A55</f>
        <v>Planned</v>
      </c>
      <c r="G54" s="91"/>
      <c r="H54" s="91"/>
      <c r="I54" s="91"/>
      <c r="J54" s="385"/>
      <c r="K54" s="462"/>
      <c r="L54" s="472">
        <f>'Goods and WorksPP'!AA58</f>
        <v>0</v>
      </c>
      <c r="M54" s="462">
        <f>'Goods and WorksPP'!AB58</f>
        <v>0</v>
      </c>
      <c r="N54" s="462">
        <f>'Goods and WorksPP'!AC58</f>
        <v>0</v>
      </c>
      <c r="O54" s="462">
        <f>'Goods and WorksPP'!AD58</f>
        <v>0</v>
      </c>
      <c r="P54" s="473"/>
      <c r="Q54" s="462">
        <f>'Goods and WorksPP'!AI58</f>
        <v>0</v>
      </c>
      <c r="R54" s="462">
        <f>'Goods and WorksPP'!AJ58</f>
        <v>0</v>
      </c>
      <c r="S54" s="462">
        <f>'Goods and WorksPP'!AK58</f>
        <v>0</v>
      </c>
      <c r="T54" s="473"/>
      <c r="U54" s="462">
        <f>'Goods and WorksPP'!AO58</f>
        <v>0</v>
      </c>
      <c r="V54" s="462">
        <f>'Goods and WorksPP'!AP58</f>
        <v>0</v>
      </c>
      <c r="W54" s="462">
        <f>'Goods and WorksPP'!AQ58</f>
        <v>0</v>
      </c>
      <c r="X54" s="460">
        <f>'Goods and WorksPP'!AR58</f>
        <v>0</v>
      </c>
    </row>
    <row r="55" spans="1:24" hidden="1" x14ac:dyDescent="0.4">
      <c r="A55" s="487"/>
      <c r="B55" s="493">
        <f>'Goods and WorksPP'!C59</f>
        <v>0</v>
      </c>
      <c r="C55" s="461">
        <f>'Goods and WorksPP'!D59</f>
        <v>0</v>
      </c>
      <c r="D55" s="456">
        <f>'Goods and WorksPP'!G59</f>
        <v>0</v>
      </c>
      <c r="E55" s="456">
        <f>'Goods and WorksPP'!H59</f>
        <v>0</v>
      </c>
      <c r="F55" s="68" t="str">
        <f>'Goods and WorksPP'!A56</f>
        <v>Revised</v>
      </c>
      <c r="G55" s="92"/>
      <c r="H55" s="92"/>
      <c r="I55" s="92"/>
      <c r="J55" s="386"/>
      <c r="K55" s="462"/>
      <c r="L55" s="472">
        <f>'Goods and WorksPP'!AA59</f>
        <v>0</v>
      </c>
      <c r="M55" s="462">
        <f>'Goods and WorksPP'!AB59</f>
        <v>0</v>
      </c>
      <c r="N55" s="462">
        <f>'Goods and WorksPP'!AC59</f>
        <v>0</v>
      </c>
      <c r="O55" s="462">
        <f>'Goods and WorksPP'!AD59</f>
        <v>0</v>
      </c>
      <c r="P55" s="474"/>
      <c r="Q55" s="462">
        <f>'Goods and WorksPP'!AI59</f>
        <v>0</v>
      </c>
      <c r="R55" s="462">
        <f>'Goods and WorksPP'!AJ59</f>
        <v>0</v>
      </c>
      <c r="S55" s="462">
        <f>'Goods and WorksPP'!AK59</f>
        <v>0</v>
      </c>
      <c r="T55" s="474"/>
      <c r="U55" s="462">
        <f>'Goods and WorksPP'!AO59</f>
        <v>0</v>
      </c>
      <c r="V55" s="462">
        <f>'Goods and WorksPP'!AP59</f>
        <v>0</v>
      </c>
      <c r="W55" s="462">
        <f>'Goods and WorksPP'!AQ59</f>
        <v>0</v>
      </c>
      <c r="X55" s="460">
        <f>'Goods and WorksPP'!AR59</f>
        <v>0</v>
      </c>
    </row>
    <row r="56" spans="1:24" hidden="1" x14ac:dyDescent="0.4">
      <c r="A56" s="487"/>
      <c r="B56" s="493">
        <f>'Goods and WorksPP'!C60</f>
        <v>0</v>
      </c>
      <c r="C56" s="461">
        <f>'Goods and WorksPP'!D60</f>
        <v>0</v>
      </c>
      <c r="D56" s="456">
        <f>'Goods and WorksPP'!G60</f>
        <v>0</v>
      </c>
      <c r="E56" s="456">
        <f>'Goods and WorksPP'!H60</f>
        <v>0</v>
      </c>
      <c r="F56" s="69" t="str">
        <f>'Goods and WorksPP'!A57</f>
        <v>Actual</v>
      </c>
      <c r="G56" s="93"/>
      <c r="H56" s="93"/>
      <c r="I56" s="93"/>
      <c r="J56" s="387"/>
      <c r="K56" s="462"/>
      <c r="L56" s="472">
        <f>'Goods and WorksPP'!AA60</f>
        <v>0</v>
      </c>
      <c r="M56" s="462">
        <f>'Goods and WorksPP'!AB60</f>
        <v>0</v>
      </c>
      <c r="N56" s="462">
        <f>'Goods and WorksPP'!AC60</f>
        <v>0</v>
      </c>
      <c r="O56" s="462">
        <f>'Goods and WorksPP'!AD60</f>
        <v>0</v>
      </c>
      <c r="P56" s="475"/>
      <c r="Q56" s="462">
        <f>'Goods and WorksPP'!AI60</f>
        <v>0</v>
      </c>
      <c r="R56" s="462">
        <f>'Goods and WorksPP'!AJ60</f>
        <v>0</v>
      </c>
      <c r="S56" s="462">
        <f>'Goods and WorksPP'!AK60</f>
        <v>0</v>
      </c>
      <c r="T56" s="475"/>
      <c r="U56" s="462">
        <f>'Goods and WorksPP'!AO60</f>
        <v>0</v>
      </c>
      <c r="V56" s="462">
        <f>'Goods and WorksPP'!AP60</f>
        <v>0</v>
      </c>
      <c r="W56" s="462">
        <f>'Goods and WorksPP'!AQ60</f>
        <v>0</v>
      </c>
      <c r="X56" s="460">
        <f>'Goods and WorksPP'!AR60</f>
        <v>0</v>
      </c>
    </row>
    <row r="57" spans="1:24" x14ac:dyDescent="0.4">
      <c r="A57" s="487"/>
      <c r="B57" s="493" t="str">
        <f>'Goods and WorksPP'!C61</f>
        <v>BWW3-8</v>
      </c>
      <c r="C57" s="461" t="str">
        <f>'Goods and WorksPP'!D61</f>
        <v>Water Loss reduction and management in Achrafieh</v>
      </c>
      <c r="D57" s="456">
        <f>'Goods and WorksPP'!G61</f>
        <v>1</v>
      </c>
      <c r="E57" s="456">
        <f>'Goods and WorksPP'!H61</f>
        <v>0</v>
      </c>
      <c r="F57" s="65" t="str">
        <f>'Goods and WorksPP'!A58</f>
        <v>Planned</v>
      </c>
      <c r="G57" s="91"/>
      <c r="H57" s="91"/>
      <c r="I57" s="91"/>
      <c r="J57" s="463"/>
      <c r="K57" s="462"/>
      <c r="L57" s="472">
        <f>'Goods and WorksPP'!AA61</f>
        <v>0</v>
      </c>
      <c r="M57" s="462">
        <f>'Goods and WorksPP'!AB61</f>
        <v>0</v>
      </c>
      <c r="N57" s="462">
        <f>'Goods and WorksPP'!AC61</f>
        <v>0</v>
      </c>
      <c r="O57" s="462">
        <f>'Goods and WorksPP'!AD61</f>
        <v>0</v>
      </c>
      <c r="P57" s="473"/>
      <c r="Q57" s="462">
        <f>'Goods and WorksPP'!AI61</f>
        <v>0</v>
      </c>
      <c r="R57" s="462">
        <f>'Goods and WorksPP'!AJ61</f>
        <v>0</v>
      </c>
      <c r="S57" s="462">
        <f>'Goods and WorksPP'!AK61</f>
        <v>0</v>
      </c>
      <c r="T57" s="473"/>
      <c r="U57" s="462">
        <f>'Goods and WorksPP'!AO61</f>
        <v>0</v>
      </c>
      <c r="V57" s="462">
        <f>'Goods and WorksPP'!AP61</f>
        <v>0</v>
      </c>
      <c r="W57" s="462">
        <f>'Goods and WorksPP'!AQ61</f>
        <v>0</v>
      </c>
      <c r="X57" s="460">
        <f>'Goods and WorksPP'!AR61</f>
        <v>0</v>
      </c>
    </row>
    <row r="58" spans="1:24" x14ac:dyDescent="0.4">
      <c r="A58" s="487"/>
      <c r="B58" s="493">
        <f>'Goods and WorksPP'!C62</f>
        <v>0</v>
      </c>
      <c r="C58" s="461">
        <f>'Goods and WorksPP'!D62</f>
        <v>0</v>
      </c>
      <c r="D58" s="456">
        <f>'Goods and WorksPP'!G62</f>
        <v>0</v>
      </c>
      <c r="E58" s="456">
        <f>'Goods and WorksPP'!H62</f>
        <v>0</v>
      </c>
      <c r="F58" s="68" t="str">
        <f>'Goods and WorksPP'!A59</f>
        <v>Revised</v>
      </c>
      <c r="G58" s="92"/>
      <c r="H58" s="92"/>
      <c r="I58" s="92"/>
      <c r="J58" s="464"/>
      <c r="K58" s="462"/>
      <c r="L58" s="472">
        <f>'Goods and WorksPP'!AA62</f>
        <v>0</v>
      </c>
      <c r="M58" s="462">
        <f>'Goods and WorksPP'!AB62</f>
        <v>0</v>
      </c>
      <c r="N58" s="462">
        <f>'Goods and WorksPP'!AC62</f>
        <v>0</v>
      </c>
      <c r="O58" s="462">
        <f>'Goods and WorksPP'!AD62</f>
        <v>0</v>
      </c>
      <c r="P58" s="474"/>
      <c r="Q58" s="462">
        <f>'Goods and WorksPP'!AI62</f>
        <v>0</v>
      </c>
      <c r="R58" s="462">
        <f>'Goods and WorksPP'!AJ62</f>
        <v>0</v>
      </c>
      <c r="S58" s="462">
        <f>'Goods and WorksPP'!AK62</f>
        <v>0</v>
      </c>
      <c r="T58" s="474"/>
      <c r="U58" s="462">
        <f>'Goods and WorksPP'!AO62</f>
        <v>0</v>
      </c>
      <c r="V58" s="462">
        <f>'Goods and WorksPP'!AP62</f>
        <v>0</v>
      </c>
      <c r="W58" s="462">
        <f>'Goods and WorksPP'!AQ62</f>
        <v>0</v>
      </c>
      <c r="X58" s="460">
        <f>'Goods and WorksPP'!AR62</f>
        <v>0</v>
      </c>
    </row>
    <row r="59" spans="1:24" x14ac:dyDescent="0.4">
      <c r="A59" s="487"/>
      <c r="B59" s="493">
        <f>'Goods and WorksPP'!C63</f>
        <v>0</v>
      </c>
      <c r="C59" s="461">
        <f>'Goods and WorksPP'!D63</f>
        <v>0</v>
      </c>
      <c r="D59" s="456">
        <f>'Goods and WorksPP'!G63</f>
        <v>0</v>
      </c>
      <c r="E59" s="456">
        <f>'Goods and WorksPP'!H63</f>
        <v>0</v>
      </c>
      <c r="F59" s="69" t="str">
        <f>'Goods and WorksPP'!A60</f>
        <v>Actual</v>
      </c>
      <c r="G59" s="93"/>
      <c r="H59" s="93"/>
      <c r="I59" s="93"/>
      <c r="J59" s="465"/>
      <c r="K59" s="462"/>
      <c r="L59" s="472">
        <f>'Goods and WorksPP'!AA63</f>
        <v>0</v>
      </c>
      <c r="M59" s="462">
        <f>'Goods and WorksPP'!AB63</f>
        <v>0</v>
      </c>
      <c r="N59" s="462">
        <f>'Goods and WorksPP'!AC63</f>
        <v>0</v>
      </c>
      <c r="O59" s="462">
        <f>'Goods and WorksPP'!AD63</f>
        <v>0</v>
      </c>
      <c r="P59" s="475"/>
      <c r="Q59" s="462">
        <f>'Goods and WorksPP'!AI63</f>
        <v>0</v>
      </c>
      <c r="R59" s="462">
        <f>'Goods and WorksPP'!AJ63</f>
        <v>0</v>
      </c>
      <c r="S59" s="462">
        <f>'Goods and WorksPP'!AK63</f>
        <v>0</v>
      </c>
      <c r="T59" s="475"/>
      <c r="U59" s="462">
        <f>'Goods and WorksPP'!AO63</f>
        <v>0</v>
      </c>
      <c r="V59" s="462">
        <f>'Goods and WorksPP'!AP63</f>
        <v>0</v>
      </c>
      <c r="W59" s="462">
        <f>'Goods and WorksPP'!AQ63</f>
        <v>0</v>
      </c>
      <c r="X59" s="460">
        <f>'Goods and WorksPP'!AR63</f>
        <v>0</v>
      </c>
    </row>
    <row r="60" spans="1:24" s="59" customFormat="1" ht="12.75" x14ac:dyDescent="0.35">
      <c r="A60" s="488"/>
      <c r="B60" s="492" t="s">
        <v>372</v>
      </c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70">
        <f>SUM(M6:M59)</f>
        <v>0</v>
      </c>
      <c r="N60" s="70">
        <f t="shared" ref="N60:S60" si="0">SUM(N6:N59)</f>
        <v>0</v>
      </c>
      <c r="O60" s="70">
        <f t="shared" si="0"/>
        <v>0</v>
      </c>
      <c r="P60" s="70">
        <f t="shared" si="0"/>
        <v>0</v>
      </c>
      <c r="Q60" s="70">
        <f t="shared" si="0"/>
        <v>0</v>
      </c>
      <c r="R60" s="70">
        <f t="shared" si="0"/>
        <v>0</v>
      </c>
      <c r="S60" s="70">
        <f t="shared" si="0"/>
        <v>0</v>
      </c>
      <c r="T60" s="70"/>
      <c r="U60" s="70">
        <f>SUM(U6:U59)</f>
        <v>0</v>
      </c>
      <c r="V60" s="70">
        <f>SUM(V6:V59)</f>
        <v>0</v>
      </c>
      <c r="W60" s="70">
        <f>SUM(W6:W59)</f>
        <v>0</v>
      </c>
      <c r="X60" s="338">
        <f>SUM(X6:X59)</f>
        <v>0</v>
      </c>
    </row>
    <row r="61" spans="1:24" ht="6" customHeight="1" x14ac:dyDescent="0.4">
      <c r="A61" s="530"/>
      <c r="B61" s="531"/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2"/>
    </row>
    <row r="62" spans="1:24" ht="12.75" customHeight="1" x14ac:dyDescent="0.4">
      <c r="A62" s="486" t="s">
        <v>380</v>
      </c>
      <c r="B62" s="461" t="str">
        <f>'Consulting ServicesPP'!C6</f>
        <v>BWC1-A</v>
      </c>
      <c r="C62" s="461" t="s">
        <v>165</v>
      </c>
      <c r="D62" s="456">
        <v>1</v>
      </c>
      <c r="E62" s="456">
        <f>1-D62</f>
        <v>0</v>
      </c>
      <c r="F62" s="65" t="str">
        <f>'Consulting ServicesPP'!A6</f>
        <v>Planned</v>
      </c>
      <c r="G62" s="94"/>
      <c r="H62" s="95"/>
      <c r="I62" s="95"/>
      <c r="J62" s="457" t="str">
        <f>'Consulting ServicesPP'!AE6</f>
        <v>Dar al Handasah shair &amp; partners - D2 Consult International JV</v>
      </c>
      <c r="K62" s="462"/>
      <c r="L62" s="472" t="str">
        <f>'Consulting ServicesPP'!Z6</f>
        <v>US$</v>
      </c>
      <c r="M62" s="462">
        <f>'Consulting ServicesPP'!AB6</f>
        <v>0</v>
      </c>
      <c r="N62" s="462">
        <f>'Consulting ServicesPP'!AC6</f>
        <v>0</v>
      </c>
      <c r="O62" s="462">
        <f>'Consulting ServicesPP'!AD6</f>
        <v>0</v>
      </c>
      <c r="P62" s="473"/>
      <c r="Q62" s="462">
        <f>'Consulting ServicesPP'!AG6</f>
        <v>0</v>
      </c>
      <c r="R62" s="462">
        <f>'Consulting ServicesPP'!AH6</f>
        <v>0</v>
      </c>
      <c r="S62" s="462">
        <f>'Consulting ServicesPP'!AI6</f>
        <v>0</v>
      </c>
      <c r="T62" s="473"/>
      <c r="U62" s="462">
        <f>'Consulting ServicesPP'!AK6</f>
        <v>0</v>
      </c>
      <c r="V62" s="462">
        <f>'Consulting ServicesPP'!AL6</f>
        <v>0</v>
      </c>
      <c r="W62" s="462">
        <f>'Consulting ServicesPP'!AM6</f>
        <v>0</v>
      </c>
      <c r="X62" s="460"/>
    </row>
    <row r="63" spans="1:24" x14ac:dyDescent="0.4">
      <c r="A63" s="487"/>
      <c r="B63" s="461" t="e">
        <f>'Consulting ServicesPP'!#REF!</f>
        <v>#REF!</v>
      </c>
      <c r="C63" s="461"/>
      <c r="D63" s="456"/>
      <c r="E63" s="456"/>
      <c r="F63" s="68" t="str">
        <f>'Consulting ServicesPP'!A7</f>
        <v>Revised</v>
      </c>
      <c r="G63" s="96"/>
      <c r="H63" s="97"/>
      <c r="I63" s="97"/>
      <c r="J63" s="458"/>
      <c r="K63" s="462"/>
      <c r="L63" s="472"/>
      <c r="M63" s="462"/>
      <c r="N63" s="462"/>
      <c r="O63" s="462"/>
      <c r="P63" s="474"/>
      <c r="Q63" s="462"/>
      <c r="R63" s="462"/>
      <c r="S63" s="462"/>
      <c r="T63" s="474"/>
      <c r="U63" s="462"/>
      <c r="V63" s="462"/>
      <c r="W63" s="462"/>
      <c r="X63" s="460"/>
    </row>
    <row r="64" spans="1:24" ht="24" customHeight="1" x14ac:dyDescent="0.4">
      <c r="A64" s="487"/>
      <c r="B64" s="461" t="e">
        <f>'Consulting ServicesPP'!#REF!</f>
        <v>#REF!</v>
      </c>
      <c r="C64" s="461"/>
      <c r="D64" s="456"/>
      <c r="E64" s="456"/>
      <c r="F64" s="69" t="str">
        <f>'Consulting ServicesPP'!A8</f>
        <v>Actual</v>
      </c>
      <c r="G64" s="98"/>
      <c r="H64" s="99"/>
      <c r="I64" s="99"/>
      <c r="J64" s="459"/>
      <c r="K64" s="462"/>
      <c r="L64" s="472"/>
      <c r="M64" s="462"/>
      <c r="N64" s="462"/>
      <c r="O64" s="462"/>
      <c r="P64" s="475"/>
      <c r="Q64" s="462"/>
      <c r="R64" s="462"/>
      <c r="S64" s="462"/>
      <c r="T64" s="475"/>
      <c r="U64" s="462"/>
      <c r="V64" s="462"/>
      <c r="W64" s="462"/>
      <c r="X64" s="460"/>
    </row>
    <row r="65" spans="1:24" ht="12.75" customHeight="1" x14ac:dyDescent="0.4">
      <c r="A65" s="487"/>
      <c r="B65" s="461" t="str">
        <f>'Consulting ServicesPP'!C9</f>
        <v>BWC1-B</v>
      </c>
      <c r="C65" s="461" t="s">
        <v>167</v>
      </c>
      <c r="D65" s="456">
        <v>0.05</v>
      </c>
      <c r="E65" s="456">
        <f>1-D65</f>
        <v>0.95</v>
      </c>
      <c r="F65" s="72" t="str">
        <f>'Consulting ServicesPP'!A9</f>
        <v>Planned</v>
      </c>
      <c r="G65" s="100"/>
      <c r="H65" s="95"/>
      <c r="I65" s="95"/>
      <c r="J65" s="457" t="str">
        <f>'Consulting ServicesPP'!AE9</f>
        <v>Cabinet d'Etude 
Marc Merlin
France</v>
      </c>
      <c r="K65" s="516"/>
      <c r="L65" s="472" t="str">
        <f>'Consulting ServicesPP'!Z9</f>
        <v>€ &amp; US$</v>
      </c>
      <c r="M65" s="462">
        <f>'Consulting ServicesPP'!AB9</f>
        <v>0</v>
      </c>
      <c r="N65" s="462">
        <f>'Consulting ServicesPP'!AC9</f>
        <v>0</v>
      </c>
      <c r="O65" s="462">
        <f>'Consulting ServicesPP'!AD9</f>
        <v>0</v>
      </c>
      <c r="P65" s="473"/>
      <c r="Q65" s="462">
        <f>'Consulting ServicesPP'!AG9</f>
        <v>0</v>
      </c>
      <c r="R65" s="462">
        <f>'Consulting ServicesPP'!AH9</f>
        <v>0</v>
      </c>
      <c r="S65" s="462">
        <f>'Consulting ServicesPP'!AI9</f>
        <v>0</v>
      </c>
      <c r="T65" s="473"/>
      <c r="U65" s="462">
        <f>'Consulting ServicesPP'!AK9</f>
        <v>0</v>
      </c>
      <c r="V65" s="462">
        <f>'Consulting ServicesPP'!AL9</f>
        <v>0</v>
      </c>
      <c r="W65" s="462">
        <f>'Consulting ServicesPP'!AM9</f>
        <v>0</v>
      </c>
      <c r="X65" s="460"/>
    </row>
    <row r="66" spans="1:24" x14ac:dyDescent="0.4">
      <c r="A66" s="487"/>
      <c r="B66" s="461" t="e">
        <f>'Consulting ServicesPP'!#REF!</f>
        <v>#REF!</v>
      </c>
      <c r="C66" s="461"/>
      <c r="D66" s="456"/>
      <c r="E66" s="456"/>
      <c r="F66" s="68" t="str">
        <f>'Consulting ServicesPP'!A10</f>
        <v>Revised</v>
      </c>
      <c r="G66" s="96"/>
      <c r="H66" s="97"/>
      <c r="I66" s="97"/>
      <c r="J66" s="458"/>
      <c r="K66" s="517"/>
      <c r="L66" s="472"/>
      <c r="M66" s="462"/>
      <c r="N66" s="462"/>
      <c r="O66" s="462"/>
      <c r="P66" s="474"/>
      <c r="Q66" s="462"/>
      <c r="R66" s="462"/>
      <c r="S66" s="462"/>
      <c r="T66" s="474"/>
      <c r="U66" s="462"/>
      <c r="V66" s="462"/>
      <c r="W66" s="462"/>
      <c r="X66" s="460"/>
    </row>
    <row r="67" spans="1:24" x14ac:dyDescent="0.4">
      <c r="A67" s="487"/>
      <c r="B67" s="461" t="e">
        <f>'Consulting ServicesPP'!#REF!</f>
        <v>#REF!</v>
      </c>
      <c r="C67" s="461"/>
      <c r="D67" s="456"/>
      <c r="E67" s="456"/>
      <c r="F67" s="69" t="str">
        <f>'Consulting ServicesPP'!A11</f>
        <v>Actual</v>
      </c>
      <c r="G67" s="98"/>
      <c r="H67" s="99"/>
      <c r="I67" s="99"/>
      <c r="J67" s="459"/>
      <c r="K67" s="517"/>
      <c r="L67" s="472"/>
      <c r="M67" s="462"/>
      <c r="N67" s="462"/>
      <c r="O67" s="462"/>
      <c r="P67" s="475"/>
      <c r="Q67" s="462"/>
      <c r="R67" s="462"/>
      <c r="S67" s="462"/>
      <c r="T67" s="475"/>
      <c r="U67" s="462"/>
      <c r="V67" s="462"/>
      <c r="W67" s="462"/>
      <c r="X67" s="460"/>
    </row>
    <row r="68" spans="1:24" ht="12.75" customHeight="1" x14ac:dyDescent="0.4">
      <c r="A68" s="487"/>
      <c r="B68" s="461" t="str">
        <f>'Consulting ServicesPP'!C12</f>
        <v>BWC1-C</v>
      </c>
      <c r="C68" s="461" t="s">
        <v>166</v>
      </c>
      <c r="D68" s="456">
        <v>0</v>
      </c>
      <c r="E68" s="456">
        <f>1-D68</f>
        <v>1</v>
      </c>
      <c r="F68" s="65" t="str">
        <f>'Consulting ServicesPP'!A12</f>
        <v>Planned</v>
      </c>
      <c r="G68" s="94"/>
      <c r="H68" s="95"/>
      <c r="I68" s="95"/>
      <c r="J68" s="463">
        <f>'Consulting ServicesPP'!AE12</f>
        <v>0</v>
      </c>
      <c r="K68" s="462">
        <f>'Consulting ServicesPP'!Y12</f>
        <v>0</v>
      </c>
      <c r="L68" s="472">
        <f>'Consulting ServicesPP'!Z12</f>
        <v>0</v>
      </c>
      <c r="M68" s="462">
        <f>'Consulting ServicesPP'!AB12</f>
        <v>0</v>
      </c>
      <c r="N68" s="462">
        <f>'Consulting ServicesPP'!AC12</f>
        <v>0</v>
      </c>
      <c r="O68" s="462">
        <f>'Consulting ServicesPP'!AD12</f>
        <v>0</v>
      </c>
      <c r="P68" s="473"/>
      <c r="Q68" s="462">
        <f>'Consulting ServicesPP'!AG12</f>
        <v>0</v>
      </c>
      <c r="R68" s="462">
        <f>'Consulting ServicesPP'!AH12</f>
        <v>0</v>
      </c>
      <c r="S68" s="462">
        <f>'Consulting ServicesPP'!AI12</f>
        <v>0</v>
      </c>
      <c r="T68" s="473"/>
      <c r="U68" s="462">
        <f>'Consulting ServicesPP'!AK12</f>
        <v>0</v>
      </c>
      <c r="V68" s="462">
        <f>'Consulting ServicesPP'!AL12</f>
        <v>0</v>
      </c>
      <c r="W68" s="462">
        <f>'Consulting ServicesPP'!AM12</f>
        <v>0</v>
      </c>
      <c r="X68" s="460"/>
    </row>
    <row r="69" spans="1:24" x14ac:dyDescent="0.4">
      <c r="A69" s="487"/>
      <c r="B69" s="461">
        <f>'Consulting ServicesPP'!B38</f>
        <v>0</v>
      </c>
      <c r="C69" s="461"/>
      <c r="D69" s="456"/>
      <c r="E69" s="456"/>
      <c r="F69" s="68" t="str">
        <f>'Consulting ServicesPP'!A13</f>
        <v>Revised</v>
      </c>
      <c r="G69" s="96"/>
      <c r="H69" s="97"/>
      <c r="I69" s="97"/>
      <c r="J69" s="464"/>
      <c r="K69" s="462"/>
      <c r="L69" s="472"/>
      <c r="M69" s="462"/>
      <c r="N69" s="462"/>
      <c r="O69" s="462"/>
      <c r="P69" s="474"/>
      <c r="Q69" s="462"/>
      <c r="R69" s="462"/>
      <c r="S69" s="462"/>
      <c r="T69" s="474"/>
      <c r="U69" s="462"/>
      <c r="V69" s="462"/>
      <c r="W69" s="462"/>
      <c r="X69" s="460"/>
    </row>
    <row r="70" spans="1:24" x14ac:dyDescent="0.4">
      <c r="A70" s="487"/>
      <c r="B70" s="461">
        <f>'Consulting ServicesPP'!B39</f>
        <v>0</v>
      </c>
      <c r="C70" s="461"/>
      <c r="D70" s="456"/>
      <c r="E70" s="456"/>
      <c r="F70" s="73" t="str">
        <f>'Consulting ServicesPP'!A14</f>
        <v>Actual</v>
      </c>
      <c r="G70" s="101"/>
      <c r="H70" s="99"/>
      <c r="I70" s="99"/>
      <c r="J70" s="465"/>
      <c r="K70" s="462"/>
      <c r="L70" s="472"/>
      <c r="M70" s="462"/>
      <c r="N70" s="462"/>
      <c r="O70" s="462"/>
      <c r="P70" s="475"/>
      <c r="Q70" s="462"/>
      <c r="R70" s="462"/>
      <c r="S70" s="462"/>
      <c r="T70" s="475"/>
      <c r="U70" s="462"/>
      <c r="V70" s="462"/>
      <c r="W70" s="462"/>
      <c r="X70" s="460"/>
    </row>
    <row r="71" spans="1:24" ht="12.75" customHeight="1" x14ac:dyDescent="0.4">
      <c r="A71" s="487"/>
      <c r="B71" s="461" t="str">
        <f>'Consulting ServicesPP'!C15</f>
        <v>BWC2-1</v>
      </c>
      <c r="C71" s="461" t="s">
        <v>168</v>
      </c>
      <c r="D71" s="456">
        <v>2.5000000000000001E-2</v>
      </c>
      <c r="E71" s="456">
        <f>1-D71</f>
        <v>0.97499999999999998</v>
      </c>
      <c r="F71" s="66" t="str">
        <f>'Consulting ServicesPP'!A15</f>
        <v>Planned</v>
      </c>
      <c r="G71" s="94"/>
      <c r="H71" s="95"/>
      <c r="I71" s="95"/>
      <c r="J71" s="463" t="str">
        <f>'Consulting ServicesPP'!AE15</f>
        <v>DAR AL HANDASAH
NAZIH TALEB &amp;
PARTNERS SAFEGE JV
(Lebanon-France)</v>
      </c>
      <c r="K71" s="518"/>
      <c r="L71" s="472" t="str">
        <f>'Consulting ServicesPP'!Z15</f>
        <v>€ &amp; L.L.</v>
      </c>
      <c r="M71" s="462">
        <f>'Consulting ServicesPP'!AB15</f>
        <v>0</v>
      </c>
      <c r="N71" s="462">
        <f>'Consulting ServicesPP'!AC15</f>
        <v>0</v>
      </c>
      <c r="O71" s="462">
        <f>'Consulting ServicesPP'!AD15</f>
        <v>0</v>
      </c>
      <c r="P71" s="473"/>
      <c r="Q71" s="462">
        <f>'Consulting ServicesPP'!AG15</f>
        <v>0</v>
      </c>
      <c r="R71" s="462">
        <f>'Consulting ServicesPP'!AH15</f>
        <v>0</v>
      </c>
      <c r="S71" s="462">
        <f>'Consulting ServicesPP'!AI15</f>
        <v>0</v>
      </c>
      <c r="T71" s="473"/>
      <c r="U71" s="462">
        <f>'Consulting ServicesPP'!AK15</f>
        <v>0</v>
      </c>
      <c r="V71" s="462">
        <f>'Consulting ServicesPP'!AL15</f>
        <v>0</v>
      </c>
      <c r="W71" s="462">
        <f>'Consulting ServicesPP'!AM15</f>
        <v>0</v>
      </c>
      <c r="X71" s="460"/>
    </row>
    <row r="72" spans="1:24" x14ac:dyDescent="0.4">
      <c r="A72" s="487"/>
      <c r="B72" s="461">
        <f>'Consulting ServicesPP'!B41</f>
        <v>0</v>
      </c>
      <c r="C72" s="461"/>
      <c r="D72" s="456"/>
      <c r="E72" s="456"/>
      <c r="F72" s="74" t="str">
        <f>'Consulting ServicesPP'!A16</f>
        <v>Revised</v>
      </c>
      <c r="G72" s="96"/>
      <c r="H72" s="97"/>
      <c r="I72" s="97"/>
      <c r="J72" s="464"/>
      <c r="K72" s="519"/>
      <c r="L72" s="472"/>
      <c r="M72" s="462"/>
      <c r="N72" s="462"/>
      <c r="O72" s="462"/>
      <c r="P72" s="474"/>
      <c r="Q72" s="462"/>
      <c r="R72" s="462"/>
      <c r="S72" s="462"/>
      <c r="T72" s="474"/>
      <c r="U72" s="462"/>
      <c r="V72" s="462"/>
      <c r="W72" s="462"/>
      <c r="X72" s="460"/>
    </row>
    <row r="73" spans="1:24" ht="38.25" customHeight="1" x14ac:dyDescent="0.4">
      <c r="A73" s="487"/>
      <c r="B73" s="461">
        <f>'Consulting ServicesPP'!B42</f>
        <v>0</v>
      </c>
      <c r="C73" s="461"/>
      <c r="D73" s="456"/>
      <c r="E73" s="456"/>
      <c r="F73" s="67" t="str">
        <f>'Consulting ServicesPP'!A18</f>
        <v>Amended</v>
      </c>
      <c r="G73" s="98"/>
      <c r="H73" s="99"/>
      <c r="I73" s="99"/>
      <c r="J73" s="465"/>
      <c r="K73" s="520"/>
      <c r="L73" s="472"/>
      <c r="M73" s="462"/>
      <c r="N73" s="462"/>
      <c r="O73" s="462"/>
      <c r="P73" s="475"/>
      <c r="Q73" s="462"/>
      <c r="R73" s="462"/>
      <c r="S73" s="462"/>
      <c r="T73" s="475"/>
      <c r="U73" s="462"/>
      <c r="V73" s="462"/>
      <c r="W73" s="462"/>
      <c r="X73" s="460"/>
    </row>
    <row r="74" spans="1:24" x14ac:dyDescent="0.4">
      <c r="A74" s="487"/>
      <c r="B74" s="461" t="str">
        <f>'Consulting ServicesPP'!C19</f>
        <v>BWC2-2</v>
      </c>
      <c r="C74" s="461" t="s">
        <v>118</v>
      </c>
      <c r="D74" s="456">
        <v>0.05</v>
      </c>
      <c r="E74" s="456">
        <f>1-D74</f>
        <v>0.95</v>
      </c>
      <c r="F74" s="66" t="str">
        <f>'Consulting ServicesPP'!A19</f>
        <v>Planned</v>
      </c>
      <c r="G74" s="94"/>
      <c r="H74" s="94"/>
      <c r="I74" s="94"/>
      <c r="J74" s="466">
        <f>'Consulting ServicesPP'!AE19</f>
        <v>0</v>
      </c>
      <c r="K74" s="506"/>
      <c r="L74" s="472">
        <f>'Consulting ServicesPP'!Z19</f>
        <v>0</v>
      </c>
      <c r="M74" s="462">
        <f>'Consulting ServicesPP'!AB19</f>
        <v>0</v>
      </c>
      <c r="N74" s="462">
        <f>'Consulting ServicesPP'!AC19</f>
        <v>0</v>
      </c>
      <c r="O74" s="462">
        <f>'Consulting ServicesPP'!AD19</f>
        <v>0</v>
      </c>
      <c r="P74" s="473"/>
      <c r="Q74" s="462">
        <f>'Consulting ServicesPP'!AG19</f>
        <v>0</v>
      </c>
      <c r="R74" s="462">
        <f>'Consulting ServicesPP'!AH19</f>
        <v>0</v>
      </c>
      <c r="S74" s="462">
        <f>'Consulting ServicesPP'!AI19</f>
        <v>0</v>
      </c>
      <c r="T74" s="473"/>
      <c r="U74" s="462">
        <f>'Consulting ServicesPP'!AK19</f>
        <v>0</v>
      </c>
      <c r="V74" s="462">
        <f>'Consulting ServicesPP'!AL19</f>
        <v>0</v>
      </c>
      <c r="W74" s="462">
        <f>'Consulting ServicesPP'!AM19</f>
        <v>0</v>
      </c>
      <c r="X74" s="460"/>
    </row>
    <row r="75" spans="1:24" x14ac:dyDescent="0.4">
      <c r="A75" s="487"/>
      <c r="B75" s="461">
        <f>'Consulting ServicesPP'!B47</f>
        <v>0</v>
      </c>
      <c r="C75" s="461"/>
      <c r="D75" s="456"/>
      <c r="E75" s="456"/>
      <c r="F75" s="74" t="str">
        <f>'Consulting ServicesPP'!A20</f>
        <v>Revised</v>
      </c>
      <c r="G75" s="96"/>
      <c r="H75" s="96"/>
      <c r="I75" s="96"/>
      <c r="J75" s="467"/>
      <c r="K75" s="462"/>
      <c r="L75" s="472"/>
      <c r="M75" s="462"/>
      <c r="N75" s="462"/>
      <c r="O75" s="462"/>
      <c r="P75" s="474"/>
      <c r="Q75" s="462"/>
      <c r="R75" s="462"/>
      <c r="S75" s="462"/>
      <c r="T75" s="474"/>
      <c r="U75" s="462"/>
      <c r="V75" s="462"/>
      <c r="W75" s="462"/>
      <c r="X75" s="460"/>
    </row>
    <row r="76" spans="1:24" x14ac:dyDescent="0.4">
      <c r="A76" s="487"/>
      <c r="B76" s="461">
        <f>'Consulting ServicesPP'!B48</f>
        <v>0</v>
      </c>
      <c r="C76" s="461"/>
      <c r="D76" s="456"/>
      <c r="E76" s="456"/>
      <c r="F76" s="67" t="str">
        <f>'Consulting ServicesPP'!A21</f>
        <v>Actual</v>
      </c>
      <c r="G76" s="98"/>
      <c r="H76" s="98"/>
      <c r="I76" s="98"/>
      <c r="J76" s="468"/>
      <c r="K76" s="462"/>
      <c r="L76" s="472"/>
      <c r="M76" s="462"/>
      <c r="N76" s="462"/>
      <c r="O76" s="462"/>
      <c r="P76" s="475"/>
      <c r="Q76" s="462"/>
      <c r="R76" s="462"/>
      <c r="S76" s="462"/>
      <c r="T76" s="475"/>
      <c r="U76" s="462"/>
      <c r="V76" s="462"/>
      <c r="W76" s="462"/>
      <c r="X76" s="460"/>
    </row>
    <row r="77" spans="1:24" ht="12.75" customHeight="1" x14ac:dyDescent="0.4">
      <c r="A77" s="487"/>
      <c r="B77" s="461" t="str">
        <f>'Consulting ServicesPP'!C22</f>
        <v>BWC3-2</v>
      </c>
      <c r="C77" s="461" t="s">
        <v>147</v>
      </c>
      <c r="D77" s="456">
        <v>0.66</v>
      </c>
      <c r="E77" s="456">
        <f>1-D77</f>
        <v>0.33999999999999997</v>
      </c>
      <c r="F77" s="66" t="str">
        <f>'Consulting ServicesPP'!A22</f>
        <v>Planned</v>
      </c>
      <c r="G77" s="94"/>
      <c r="H77" s="95"/>
      <c r="I77" s="95"/>
      <c r="J77" s="469" t="str">
        <f>'Consulting ServicesPP'!AE22</f>
        <v>USAMAH TABBARAH &amp; CO Auditors &amp; Consultants - NEXIA INTERNATIONAL, Beirut, Lebanon</v>
      </c>
      <c r="K77" s="462"/>
      <c r="L77" s="472" t="str">
        <f>'Consulting ServicesPP'!Z22</f>
        <v>L.L.</v>
      </c>
      <c r="M77" s="462">
        <f>'Consulting ServicesPP'!AB22</f>
        <v>0</v>
      </c>
      <c r="N77" s="462">
        <f>'Consulting ServicesPP'!AC22</f>
        <v>0</v>
      </c>
      <c r="O77" s="462">
        <f>'Consulting ServicesPP'!AD22</f>
        <v>0</v>
      </c>
      <c r="P77" s="473"/>
      <c r="Q77" s="462">
        <f>'Consulting ServicesPP'!AG22</f>
        <v>0</v>
      </c>
      <c r="R77" s="462">
        <f>'Consulting ServicesPP'!AH22</f>
        <v>0</v>
      </c>
      <c r="S77" s="462">
        <f>'Consulting ServicesPP'!AI22</f>
        <v>0</v>
      </c>
      <c r="T77" s="473"/>
      <c r="U77" s="462">
        <f>'Consulting ServicesPP'!AK22</f>
        <v>0</v>
      </c>
      <c r="V77" s="462">
        <f>'Consulting ServicesPP'!AL22</f>
        <v>0</v>
      </c>
      <c r="W77" s="462">
        <f>'Consulting ServicesPP'!AM22</f>
        <v>0</v>
      </c>
      <c r="X77" s="460"/>
    </row>
    <row r="78" spans="1:24" x14ac:dyDescent="0.4">
      <c r="A78" s="487"/>
      <c r="B78" s="461">
        <f>'Consulting ServicesPP'!B50</f>
        <v>0</v>
      </c>
      <c r="C78" s="461"/>
      <c r="D78" s="456"/>
      <c r="E78" s="456"/>
      <c r="F78" s="74" t="str">
        <f>'Consulting ServicesPP'!A23</f>
        <v>Revised</v>
      </c>
      <c r="G78" s="96"/>
      <c r="H78" s="97"/>
      <c r="I78" s="97"/>
      <c r="J78" s="470"/>
      <c r="K78" s="462"/>
      <c r="L78" s="472"/>
      <c r="M78" s="462"/>
      <c r="N78" s="462"/>
      <c r="O78" s="462"/>
      <c r="P78" s="474"/>
      <c r="Q78" s="462"/>
      <c r="R78" s="462"/>
      <c r="S78" s="462"/>
      <c r="T78" s="474"/>
      <c r="U78" s="462"/>
      <c r="V78" s="462"/>
      <c r="W78" s="462"/>
      <c r="X78" s="460"/>
    </row>
    <row r="79" spans="1:24" ht="30.75" customHeight="1" x14ac:dyDescent="0.4">
      <c r="A79" s="487"/>
      <c r="B79" s="461">
        <f>'Consulting ServicesPP'!B51</f>
        <v>0</v>
      </c>
      <c r="C79" s="461"/>
      <c r="D79" s="456"/>
      <c r="E79" s="456"/>
      <c r="F79" s="67" t="str">
        <f>'Consulting ServicesPP'!A24</f>
        <v>Actual</v>
      </c>
      <c r="G79" s="98"/>
      <c r="H79" s="99"/>
      <c r="I79" s="99"/>
      <c r="J79" s="471"/>
      <c r="K79" s="462"/>
      <c r="L79" s="472"/>
      <c r="M79" s="462"/>
      <c r="N79" s="462"/>
      <c r="O79" s="462"/>
      <c r="P79" s="475"/>
      <c r="Q79" s="462"/>
      <c r="R79" s="462"/>
      <c r="S79" s="462"/>
      <c r="T79" s="475"/>
      <c r="U79" s="462"/>
      <c r="V79" s="462"/>
      <c r="W79" s="462"/>
      <c r="X79" s="460"/>
    </row>
    <row r="80" spans="1:24" x14ac:dyDescent="0.4">
      <c r="A80" s="487"/>
      <c r="B80" s="461" t="str">
        <f>'Consulting ServicesPP'!C25</f>
        <v>BWC3-2-1</v>
      </c>
      <c r="C80" s="461" t="s">
        <v>293</v>
      </c>
      <c r="D80" s="456">
        <v>0.66</v>
      </c>
      <c r="E80" s="456">
        <f>1-D80</f>
        <v>0.33999999999999997</v>
      </c>
      <c r="F80" s="66" t="str">
        <f>'Consulting ServicesPP'!A25</f>
        <v>Planned</v>
      </c>
      <c r="G80" s="94"/>
      <c r="H80" s="95"/>
      <c r="I80" s="95"/>
      <c r="J80" s="463" t="str">
        <f>'Consulting ServicesPP'!AE25</f>
        <v>Talal Abu Ghazaleh &amp; Co.
Lebanon</v>
      </c>
      <c r="K80" s="462"/>
      <c r="L80" s="472" t="str">
        <f>'Consulting ServicesPP'!Z25</f>
        <v>US$</v>
      </c>
      <c r="M80" s="462">
        <f>'Consulting ServicesPP'!AB25</f>
        <v>0</v>
      </c>
      <c r="N80" s="462">
        <f>'Consulting ServicesPP'!AC25</f>
        <v>0</v>
      </c>
      <c r="O80" s="462">
        <f>'Consulting ServicesPP'!AD25</f>
        <v>0</v>
      </c>
      <c r="P80" s="473"/>
      <c r="Q80" s="462">
        <f>'Consulting ServicesPP'!AG25</f>
        <v>0</v>
      </c>
      <c r="R80" s="462">
        <f>'Consulting ServicesPP'!AH25</f>
        <v>0</v>
      </c>
      <c r="S80" s="462">
        <f>'Consulting ServicesPP'!AI25</f>
        <v>0</v>
      </c>
      <c r="T80" s="473"/>
      <c r="U80" s="462">
        <f>'Consulting ServicesPP'!AK25</f>
        <v>0</v>
      </c>
      <c r="V80" s="462">
        <f>'Consulting ServicesPP'!AL25</f>
        <v>0</v>
      </c>
      <c r="W80" s="462">
        <f>'Consulting ServicesPP'!AM25</f>
        <v>0</v>
      </c>
      <c r="X80" s="460"/>
    </row>
    <row r="81" spans="1:24" x14ac:dyDescent="0.4">
      <c r="A81" s="487"/>
      <c r="B81" s="461">
        <f>'Consulting ServicesPP'!B53</f>
        <v>0</v>
      </c>
      <c r="C81" s="461"/>
      <c r="D81" s="456"/>
      <c r="E81" s="456"/>
      <c r="F81" s="74" t="str">
        <f>'Consulting ServicesPP'!A26</f>
        <v>Revised</v>
      </c>
      <c r="G81" s="96"/>
      <c r="H81" s="97"/>
      <c r="I81" s="97"/>
      <c r="J81" s="464"/>
      <c r="K81" s="462"/>
      <c r="L81" s="472"/>
      <c r="M81" s="462"/>
      <c r="N81" s="462"/>
      <c r="O81" s="462"/>
      <c r="P81" s="474"/>
      <c r="Q81" s="462"/>
      <c r="R81" s="462"/>
      <c r="S81" s="462"/>
      <c r="T81" s="474"/>
      <c r="U81" s="462"/>
      <c r="V81" s="462"/>
      <c r="W81" s="462"/>
      <c r="X81" s="460"/>
    </row>
    <row r="82" spans="1:24" x14ac:dyDescent="0.4">
      <c r="A82" s="487"/>
      <c r="B82" s="461">
        <f>'Consulting ServicesPP'!B54</f>
        <v>0</v>
      </c>
      <c r="C82" s="461"/>
      <c r="D82" s="456"/>
      <c r="E82" s="456"/>
      <c r="F82" s="67" t="str">
        <f>'Consulting ServicesPP'!A27</f>
        <v>Actual</v>
      </c>
      <c r="G82" s="98"/>
      <c r="H82" s="99"/>
      <c r="I82" s="99"/>
      <c r="J82" s="465"/>
      <c r="K82" s="462"/>
      <c r="L82" s="472"/>
      <c r="M82" s="462"/>
      <c r="N82" s="462"/>
      <c r="O82" s="462"/>
      <c r="P82" s="475"/>
      <c r="Q82" s="462"/>
      <c r="R82" s="462"/>
      <c r="S82" s="462"/>
      <c r="T82" s="475"/>
      <c r="U82" s="462"/>
      <c r="V82" s="462"/>
      <c r="W82" s="462"/>
      <c r="X82" s="460"/>
    </row>
    <row r="83" spans="1:24" x14ac:dyDescent="0.4">
      <c r="A83" s="487"/>
      <c r="B83" s="461" t="str">
        <f>'Consulting ServicesPP'!C28</f>
        <v>BWC1-1</v>
      </c>
      <c r="C83" s="461" t="s">
        <v>119</v>
      </c>
      <c r="D83" s="507"/>
      <c r="E83" s="507"/>
      <c r="F83" s="66" t="str">
        <f>'Consulting ServicesPP'!A28</f>
        <v>Planned</v>
      </c>
      <c r="G83" s="94"/>
      <c r="H83" s="94"/>
      <c r="I83" s="94"/>
      <c r="J83" s="466"/>
      <c r="K83" s="506"/>
      <c r="L83" s="472">
        <f>'Consulting ServicesPP'!Z28</f>
        <v>0</v>
      </c>
      <c r="M83" s="462">
        <f>'Consulting ServicesPP'!AB28</f>
        <v>0</v>
      </c>
      <c r="N83" s="462">
        <f>'Consulting ServicesPP'!AC28</f>
        <v>0</v>
      </c>
      <c r="O83" s="462">
        <f>'Consulting ServicesPP'!AD28</f>
        <v>0</v>
      </c>
      <c r="P83" s="473"/>
      <c r="Q83" s="462">
        <f>'Consulting ServicesPP'!AG28</f>
        <v>0</v>
      </c>
      <c r="R83" s="462">
        <f>'Consulting ServicesPP'!AH28</f>
        <v>0</v>
      </c>
      <c r="S83" s="462">
        <f>'Consulting ServicesPP'!AI28</f>
        <v>0</v>
      </c>
      <c r="T83" s="473"/>
      <c r="U83" s="462">
        <f>'Consulting ServicesPP'!AK28</f>
        <v>0</v>
      </c>
      <c r="V83" s="462">
        <f>'Consulting ServicesPP'!AL28</f>
        <v>0</v>
      </c>
      <c r="W83" s="462">
        <f>'Consulting ServicesPP'!AM28</f>
        <v>0</v>
      </c>
      <c r="X83" s="460"/>
    </row>
    <row r="84" spans="1:24" x14ac:dyDescent="0.4">
      <c r="A84" s="487"/>
      <c r="B84" s="461">
        <f>'Consulting ServicesPP'!B56</f>
        <v>0</v>
      </c>
      <c r="C84" s="461"/>
      <c r="D84" s="507"/>
      <c r="E84" s="507"/>
      <c r="F84" s="74" t="str">
        <f>'Consulting ServicesPP'!A29</f>
        <v>Revised</v>
      </c>
      <c r="G84" s="96"/>
      <c r="H84" s="96"/>
      <c r="I84" s="96"/>
      <c r="J84" s="467"/>
      <c r="K84" s="462"/>
      <c r="L84" s="472"/>
      <c r="M84" s="462"/>
      <c r="N84" s="462"/>
      <c r="O84" s="462"/>
      <c r="P84" s="474"/>
      <c r="Q84" s="462"/>
      <c r="R84" s="462"/>
      <c r="S84" s="462"/>
      <c r="T84" s="474"/>
      <c r="U84" s="462"/>
      <c r="V84" s="462"/>
      <c r="W84" s="462"/>
      <c r="X84" s="460"/>
    </row>
    <row r="85" spans="1:24" x14ac:dyDescent="0.4">
      <c r="A85" s="487"/>
      <c r="B85" s="461">
        <f>'Consulting ServicesPP'!B57</f>
        <v>0</v>
      </c>
      <c r="C85" s="461"/>
      <c r="D85" s="507"/>
      <c r="E85" s="507"/>
      <c r="F85" s="67" t="str">
        <f>'Consulting ServicesPP'!A30</f>
        <v>Actual</v>
      </c>
      <c r="G85" s="98"/>
      <c r="H85" s="98"/>
      <c r="I85" s="98"/>
      <c r="J85" s="468"/>
      <c r="K85" s="462"/>
      <c r="L85" s="472"/>
      <c r="M85" s="462"/>
      <c r="N85" s="462"/>
      <c r="O85" s="462"/>
      <c r="P85" s="475"/>
      <c r="Q85" s="462"/>
      <c r="R85" s="462"/>
      <c r="S85" s="462"/>
      <c r="T85" s="475"/>
      <c r="U85" s="462"/>
      <c r="V85" s="462"/>
      <c r="W85" s="462"/>
      <c r="X85" s="460"/>
    </row>
    <row r="86" spans="1:24" x14ac:dyDescent="0.4">
      <c r="A86" s="487"/>
      <c r="B86" s="461" t="str">
        <f>'Consulting ServicesPP'!C31</f>
        <v>BWC3-2-2</v>
      </c>
      <c r="C86" s="461" t="str">
        <f>'Consulting ServicesPP'!D31</f>
        <v>PROJECT External
Audit (3 years)</v>
      </c>
      <c r="D86" s="456">
        <v>0.66</v>
      </c>
      <c r="E86" s="456">
        <f>1-D86</f>
        <v>0.33999999999999997</v>
      </c>
      <c r="F86" s="66" t="str">
        <f>'Consulting ServicesPP'!A31</f>
        <v>Planned</v>
      </c>
      <c r="G86" s="94"/>
      <c r="H86" s="94"/>
      <c r="I86" s="94"/>
      <c r="J86" s="466" t="str">
        <f>'Consulting ServicesPP'!AE31</f>
        <v>Talal Abu Ghazaleh &amp; Co.
Lebanon</v>
      </c>
      <c r="K86" s="462"/>
      <c r="L86" s="472" t="str">
        <f>'Consulting ServicesPP'!Z31</f>
        <v>US$</v>
      </c>
      <c r="M86" s="462">
        <f>'Consulting ServicesPP'!AB31</f>
        <v>0</v>
      </c>
      <c r="N86" s="462">
        <f>'Consulting ServicesPP'!AC31</f>
        <v>0</v>
      </c>
      <c r="O86" s="462">
        <f>'Consulting ServicesPP'!AD31</f>
        <v>0</v>
      </c>
      <c r="P86" s="473"/>
      <c r="Q86" s="462">
        <f>'Consulting ServicesPP'!AG31</f>
        <v>0</v>
      </c>
      <c r="R86" s="462">
        <f>'Consulting ServicesPP'!AH31</f>
        <v>0</v>
      </c>
      <c r="S86" s="462">
        <f>'Consulting ServicesPP'!AI31</f>
        <v>0</v>
      </c>
      <c r="T86" s="473"/>
      <c r="U86" s="462">
        <f>'Consulting ServicesPP'!AK31</f>
        <v>0</v>
      </c>
      <c r="V86" s="462">
        <f>'Consulting ServicesPP'!AL31</f>
        <v>0</v>
      </c>
      <c r="W86" s="462">
        <f>'Consulting ServicesPP'!AM31</f>
        <v>0</v>
      </c>
      <c r="X86" s="460"/>
    </row>
    <row r="87" spans="1:24" x14ac:dyDescent="0.4">
      <c r="A87" s="487"/>
      <c r="B87" s="461">
        <f>'Consulting ServicesPP'!B59</f>
        <v>0</v>
      </c>
      <c r="C87" s="461">
        <f>'Consulting ServicesPP'!C59</f>
        <v>0</v>
      </c>
      <c r="D87" s="456"/>
      <c r="E87" s="456"/>
      <c r="F87" s="74" t="str">
        <f>'Consulting ServicesPP'!A32</f>
        <v>Revised</v>
      </c>
      <c r="G87" s="96"/>
      <c r="H87" s="96"/>
      <c r="I87" s="96"/>
      <c r="J87" s="467"/>
      <c r="K87" s="462"/>
      <c r="L87" s="472"/>
      <c r="M87" s="462"/>
      <c r="N87" s="462"/>
      <c r="O87" s="462"/>
      <c r="P87" s="474"/>
      <c r="Q87" s="462"/>
      <c r="R87" s="462"/>
      <c r="S87" s="462"/>
      <c r="T87" s="474"/>
      <c r="U87" s="462"/>
      <c r="V87" s="462"/>
      <c r="W87" s="462"/>
      <c r="X87" s="460"/>
    </row>
    <row r="88" spans="1:24" x14ac:dyDescent="0.4">
      <c r="A88" s="487"/>
      <c r="B88" s="461">
        <f>'Consulting ServicesPP'!B60</f>
        <v>0</v>
      </c>
      <c r="C88" s="461">
        <f>'Consulting ServicesPP'!C60</f>
        <v>0</v>
      </c>
      <c r="D88" s="456"/>
      <c r="E88" s="456"/>
      <c r="F88" s="67" t="str">
        <f>'Consulting ServicesPP'!A33</f>
        <v>Actual</v>
      </c>
      <c r="G88" s="98"/>
      <c r="H88" s="98"/>
      <c r="I88" s="98"/>
      <c r="J88" s="468"/>
      <c r="K88" s="462"/>
      <c r="L88" s="472"/>
      <c r="M88" s="462"/>
      <c r="N88" s="462"/>
      <c r="O88" s="462"/>
      <c r="P88" s="475"/>
      <c r="Q88" s="462"/>
      <c r="R88" s="462"/>
      <c r="S88" s="462"/>
      <c r="T88" s="475"/>
      <c r="U88" s="462"/>
      <c r="V88" s="462"/>
      <c r="W88" s="462"/>
      <c r="X88" s="460"/>
    </row>
    <row r="89" spans="1:24" x14ac:dyDescent="0.4">
      <c r="A89" s="487"/>
      <c r="B89" s="461" t="str">
        <f>'Consulting ServicesPP'!C34</f>
        <v>BWC3-2-3</v>
      </c>
      <c r="C89" s="461" t="str">
        <f>'Consulting ServicesPP'!D34</f>
        <v>PROJECT External
Audit (2017-2018-2019)</v>
      </c>
      <c r="D89" s="456">
        <v>0.66</v>
      </c>
      <c r="E89" s="456">
        <f>1-D89</f>
        <v>0.33999999999999997</v>
      </c>
      <c r="F89" s="66" t="str">
        <f>'Consulting ServicesPP'!A34</f>
        <v>Planned</v>
      </c>
      <c r="G89" s="94"/>
      <c r="H89" s="94"/>
      <c r="I89" s="94"/>
      <c r="J89" s="466" t="str">
        <f>'Consulting ServicesPP'!AE34</f>
        <v>Talal Abu Ghazaleh &amp; Co.
Lebanon</v>
      </c>
      <c r="K89" s="462"/>
      <c r="L89" s="472" t="str">
        <f>'Consulting ServicesPP'!Z34</f>
        <v>US$</v>
      </c>
      <c r="M89" s="462">
        <f>'Consulting ServicesPP'!AB34</f>
        <v>0</v>
      </c>
      <c r="N89" s="462">
        <f>'Consulting ServicesPP'!AC34</f>
        <v>0</v>
      </c>
      <c r="O89" s="462">
        <f>'Consulting ServicesPP'!AD34</f>
        <v>0</v>
      </c>
      <c r="P89" s="473"/>
      <c r="Q89" s="462">
        <f>'Consulting ServicesPP'!AG34</f>
        <v>0</v>
      </c>
      <c r="R89" s="462">
        <f>'Consulting ServicesPP'!AH34</f>
        <v>0</v>
      </c>
      <c r="S89" s="462">
        <f>'Consulting ServicesPP'!AI34</f>
        <v>0</v>
      </c>
      <c r="T89" s="473"/>
      <c r="U89" s="462">
        <f>'Consulting ServicesPP'!AK34</f>
        <v>0</v>
      </c>
      <c r="V89" s="462">
        <f>'Consulting ServicesPP'!AL34</f>
        <v>0</v>
      </c>
      <c r="W89" s="462">
        <f>'Consulting ServicesPP'!AM34</f>
        <v>0</v>
      </c>
      <c r="X89" s="460"/>
    </row>
    <row r="90" spans="1:24" x14ac:dyDescent="0.4">
      <c r="A90" s="487"/>
      <c r="B90" s="461">
        <f>'Consulting ServicesPP'!B62</f>
        <v>0</v>
      </c>
      <c r="C90" s="461">
        <f>'Consulting ServicesPP'!C62</f>
        <v>0</v>
      </c>
      <c r="D90" s="456"/>
      <c r="E90" s="456"/>
      <c r="F90" s="74" t="str">
        <f>'Consulting ServicesPP'!A35</f>
        <v>Revised</v>
      </c>
      <c r="G90" s="96"/>
      <c r="H90" s="96"/>
      <c r="I90" s="96"/>
      <c r="J90" s="467"/>
      <c r="K90" s="462"/>
      <c r="L90" s="472"/>
      <c r="M90" s="462"/>
      <c r="N90" s="462"/>
      <c r="O90" s="462"/>
      <c r="P90" s="474"/>
      <c r="Q90" s="462"/>
      <c r="R90" s="462"/>
      <c r="S90" s="462"/>
      <c r="T90" s="474"/>
      <c r="U90" s="462"/>
      <c r="V90" s="462"/>
      <c r="W90" s="462"/>
      <c r="X90" s="460"/>
    </row>
    <row r="91" spans="1:24" x14ac:dyDescent="0.4">
      <c r="A91" s="487"/>
      <c r="B91" s="461">
        <f>'Consulting ServicesPP'!B63</f>
        <v>0</v>
      </c>
      <c r="C91" s="461">
        <f>'Consulting ServicesPP'!C63</f>
        <v>0</v>
      </c>
      <c r="D91" s="456"/>
      <c r="E91" s="456"/>
      <c r="F91" s="67" t="str">
        <f>'Consulting ServicesPP'!A36</f>
        <v>Actual</v>
      </c>
      <c r="G91" s="98"/>
      <c r="H91" s="98"/>
      <c r="I91" s="98"/>
      <c r="J91" s="468"/>
      <c r="K91" s="462"/>
      <c r="L91" s="472"/>
      <c r="M91" s="462"/>
      <c r="N91" s="462"/>
      <c r="O91" s="462"/>
      <c r="P91" s="475"/>
      <c r="Q91" s="462"/>
      <c r="R91" s="462"/>
      <c r="S91" s="462"/>
      <c r="T91" s="475"/>
      <c r="U91" s="462"/>
      <c r="V91" s="462"/>
      <c r="W91" s="462"/>
      <c r="X91" s="460"/>
    </row>
    <row r="92" spans="1:24" x14ac:dyDescent="0.4">
      <c r="A92" s="487"/>
      <c r="B92" s="461" t="str">
        <f>'Consulting ServicesPP'!C37</f>
        <v>BWC3-3</v>
      </c>
      <c r="C92" s="461" t="str">
        <f>'Consulting ServicesPP'!D37</f>
        <v>Supervision of loss reduction management contract (PBC)</v>
      </c>
      <c r="D92" s="456">
        <v>1</v>
      </c>
      <c r="E92" s="456">
        <f>1-D92</f>
        <v>0</v>
      </c>
      <c r="F92" s="66" t="str">
        <f>'Consulting ServicesPP'!A37</f>
        <v>Planned</v>
      </c>
      <c r="G92" s="94"/>
      <c r="H92" s="94"/>
      <c r="I92" s="94"/>
      <c r="J92" s="466"/>
      <c r="K92" s="462"/>
      <c r="L92" s="472" t="str">
        <f>'Consulting ServicesPP'!Z37</f>
        <v>US$</v>
      </c>
      <c r="M92" s="462">
        <f>'Consulting ServicesPP'!AB37</f>
        <v>0</v>
      </c>
      <c r="N92" s="462">
        <f>'Consulting ServicesPP'!AC37</f>
        <v>0</v>
      </c>
      <c r="O92" s="462">
        <f>'Consulting ServicesPP'!AD37</f>
        <v>0</v>
      </c>
      <c r="P92" s="473"/>
      <c r="Q92" s="462">
        <f>'Consulting ServicesPP'!AG37</f>
        <v>0</v>
      </c>
      <c r="R92" s="462">
        <f>'Consulting ServicesPP'!AH37</f>
        <v>0</v>
      </c>
      <c r="S92" s="462">
        <f>'Consulting ServicesPP'!AI37</f>
        <v>0</v>
      </c>
      <c r="T92" s="473"/>
      <c r="U92" s="462">
        <f>'Consulting ServicesPP'!AK37</f>
        <v>0</v>
      </c>
      <c r="V92" s="462">
        <f>'Consulting ServicesPP'!AL37</f>
        <v>0</v>
      </c>
      <c r="W92" s="462">
        <f>'Consulting ServicesPP'!AM37</f>
        <v>0</v>
      </c>
      <c r="X92" s="460"/>
    </row>
    <row r="93" spans="1:24" x14ac:dyDescent="0.4">
      <c r="A93" s="487"/>
      <c r="B93" s="461">
        <f>'Consulting ServicesPP'!B65</f>
        <v>0</v>
      </c>
      <c r="C93" s="461">
        <f>'Consulting ServicesPP'!C65</f>
        <v>0</v>
      </c>
      <c r="D93" s="456"/>
      <c r="E93" s="456"/>
      <c r="F93" s="74" t="str">
        <f>'Consulting ServicesPP'!A38</f>
        <v>Revised</v>
      </c>
      <c r="G93" s="96"/>
      <c r="H93" s="96"/>
      <c r="I93" s="96"/>
      <c r="J93" s="467"/>
      <c r="K93" s="462"/>
      <c r="L93" s="472"/>
      <c r="M93" s="462"/>
      <c r="N93" s="462"/>
      <c r="O93" s="462"/>
      <c r="P93" s="474"/>
      <c r="Q93" s="462"/>
      <c r="R93" s="462"/>
      <c r="S93" s="462"/>
      <c r="T93" s="474"/>
      <c r="U93" s="462"/>
      <c r="V93" s="462"/>
      <c r="W93" s="462"/>
      <c r="X93" s="460"/>
    </row>
    <row r="94" spans="1:24" x14ac:dyDescent="0.4">
      <c r="A94" s="487"/>
      <c r="B94" s="461">
        <f>'Consulting ServicesPP'!B66</f>
        <v>0</v>
      </c>
      <c r="C94" s="461">
        <f>'Consulting ServicesPP'!C66</f>
        <v>0</v>
      </c>
      <c r="D94" s="456"/>
      <c r="E94" s="456"/>
      <c r="F94" s="67" t="str">
        <f>'Consulting ServicesPP'!A39</f>
        <v>Actual</v>
      </c>
      <c r="G94" s="98"/>
      <c r="H94" s="98"/>
      <c r="I94" s="98"/>
      <c r="J94" s="468"/>
      <c r="K94" s="462"/>
      <c r="L94" s="472"/>
      <c r="M94" s="462"/>
      <c r="N94" s="462"/>
      <c r="O94" s="462"/>
      <c r="P94" s="475"/>
      <c r="Q94" s="462"/>
      <c r="R94" s="462"/>
      <c r="S94" s="462"/>
      <c r="T94" s="475"/>
      <c r="U94" s="462"/>
      <c r="V94" s="462"/>
      <c r="W94" s="462"/>
      <c r="X94" s="460"/>
    </row>
    <row r="95" spans="1:24" x14ac:dyDescent="0.4">
      <c r="A95" s="487"/>
      <c r="B95" s="461" t="str">
        <f>'Consulting ServicesPP'!C43</f>
        <v>BWC3-2-4</v>
      </c>
      <c r="C95" s="461" t="str">
        <f>'Consulting ServicesPP'!D43</f>
        <v>BMLWE External Audit
(2016)</v>
      </c>
      <c r="D95" s="456">
        <v>1</v>
      </c>
      <c r="E95" s="456">
        <f>1-D95</f>
        <v>0</v>
      </c>
      <c r="F95" s="66" t="str">
        <f>'Consulting ServicesPP'!A43</f>
        <v>Planned</v>
      </c>
      <c r="G95" s="94"/>
      <c r="H95" s="94"/>
      <c r="I95" s="94"/>
      <c r="J95" s="466" t="str">
        <f>'Consulting ServicesPP'!AE43</f>
        <v>Talal Abu Ghazaleh &amp; Co.
Lebanon</v>
      </c>
      <c r="K95" s="462"/>
      <c r="L95" s="472" t="str">
        <f>'Consulting ServicesPP'!Z43</f>
        <v>US$</v>
      </c>
      <c r="M95" s="462">
        <f>'Consulting ServicesPP'!AB43</f>
        <v>0</v>
      </c>
      <c r="N95" s="462">
        <f>'Consulting ServicesPP'!AC43</f>
        <v>0</v>
      </c>
      <c r="O95" s="462">
        <f>'Consulting ServicesPP'!AD43</f>
        <v>0</v>
      </c>
      <c r="P95" s="473"/>
      <c r="Q95" s="462">
        <f>'Consulting ServicesPP'!AG43</f>
        <v>0</v>
      </c>
      <c r="R95" s="462">
        <f>'Consulting ServicesPP'!AH43</f>
        <v>0</v>
      </c>
      <c r="S95" s="462">
        <f>'Consulting ServicesPP'!AI43</f>
        <v>0</v>
      </c>
      <c r="T95" s="473"/>
      <c r="U95" s="462">
        <f>'Consulting ServicesPP'!AK43</f>
        <v>0</v>
      </c>
      <c r="V95" s="462">
        <f>'Consulting ServicesPP'!AL43</f>
        <v>0</v>
      </c>
      <c r="W95" s="462">
        <f>'Consulting ServicesPP'!AM43</f>
        <v>0</v>
      </c>
      <c r="X95" s="460"/>
    </row>
    <row r="96" spans="1:24" x14ac:dyDescent="0.4">
      <c r="A96" s="487"/>
      <c r="B96" s="461">
        <f>'Consulting ServicesPP'!B71</f>
        <v>0</v>
      </c>
      <c r="C96" s="461">
        <f>'Consulting ServicesPP'!C71</f>
        <v>0</v>
      </c>
      <c r="D96" s="456"/>
      <c r="E96" s="456"/>
      <c r="F96" s="74" t="str">
        <f>'Consulting ServicesPP'!A44</f>
        <v>Revised</v>
      </c>
      <c r="G96" s="96"/>
      <c r="H96" s="96"/>
      <c r="I96" s="96"/>
      <c r="J96" s="467"/>
      <c r="K96" s="462"/>
      <c r="L96" s="472"/>
      <c r="M96" s="462"/>
      <c r="N96" s="462"/>
      <c r="O96" s="462"/>
      <c r="P96" s="474"/>
      <c r="Q96" s="462"/>
      <c r="R96" s="462"/>
      <c r="S96" s="462"/>
      <c r="T96" s="474"/>
      <c r="U96" s="462"/>
      <c r="V96" s="462"/>
      <c r="W96" s="462"/>
      <c r="X96" s="460"/>
    </row>
    <row r="97" spans="1:24" x14ac:dyDescent="0.4">
      <c r="A97" s="487"/>
      <c r="B97" s="461">
        <f>'Consulting ServicesPP'!B72</f>
        <v>0</v>
      </c>
      <c r="C97" s="461">
        <f>'Consulting ServicesPP'!C72</f>
        <v>0</v>
      </c>
      <c r="D97" s="456"/>
      <c r="E97" s="456"/>
      <c r="F97" s="67" t="str">
        <f>'Consulting ServicesPP'!A45</f>
        <v>Actual</v>
      </c>
      <c r="G97" s="98"/>
      <c r="H97" s="98"/>
      <c r="I97" s="98"/>
      <c r="J97" s="468"/>
      <c r="K97" s="462"/>
      <c r="L97" s="472"/>
      <c r="M97" s="462"/>
      <c r="N97" s="462"/>
      <c r="O97" s="462"/>
      <c r="P97" s="475"/>
      <c r="Q97" s="462"/>
      <c r="R97" s="462"/>
      <c r="S97" s="462"/>
      <c r="T97" s="475"/>
      <c r="U97" s="462"/>
      <c r="V97" s="462"/>
      <c r="W97" s="462"/>
      <c r="X97" s="460"/>
    </row>
    <row r="98" spans="1:24" x14ac:dyDescent="0.4">
      <c r="A98" s="487"/>
      <c r="B98" s="461" t="str">
        <f>'Consulting ServicesPP'!C46</f>
        <v>BWC3-2-5</v>
      </c>
      <c r="C98" s="461" t="str">
        <f>'Consulting ServicesPP'!D46</f>
        <v>BMLWE External Audit
(2017-2018-2019)</v>
      </c>
      <c r="D98" s="456">
        <v>1</v>
      </c>
      <c r="E98" s="456">
        <f>1-D98</f>
        <v>0</v>
      </c>
      <c r="F98" s="66" t="str">
        <f>'Consulting ServicesPP'!A46</f>
        <v>Planned</v>
      </c>
      <c r="G98" s="94"/>
      <c r="H98" s="94"/>
      <c r="I98" s="94"/>
      <c r="J98" s="466"/>
      <c r="K98" s="462"/>
      <c r="L98" s="472">
        <f>'Consulting ServicesPP'!Z46</f>
        <v>0</v>
      </c>
      <c r="M98" s="462">
        <f>'Consulting ServicesPP'!AB46</f>
        <v>0</v>
      </c>
      <c r="N98" s="462">
        <f>'Consulting ServicesPP'!AC46</f>
        <v>0</v>
      </c>
      <c r="O98" s="462">
        <f>'Consulting ServicesPP'!AD46</f>
        <v>0</v>
      </c>
      <c r="P98" s="473"/>
      <c r="Q98" s="462">
        <f>'Consulting ServicesPP'!AG46</f>
        <v>0</v>
      </c>
      <c r="R98" s="462">
        <f>'Consulting ServicesPP'!AH46</f>
        <v>0</v>
      </c>
      <c r="S98" s="462">
        <f>'Consulting ServicesPP'!AI46</f>
        <v>0</v>
      </c>
      <c r="T98" s="473"/>
      <c r="U98" s="462">
        <f>'Consulting ServicesPP'!AK46</f>
        <v>0</v>
      </c>
      <c r="V98" s="462">
        <f>'Consulting ServicesPP'!AL46</f>
        <v>0</v>
      </c>
      <c r="W98" s="462">
        <f>'Consulting ServicesPP'!AM46</f>
        <v>0</v>
      </c>
      <c r="X98" s="460"/>
    </row>
    <row r="99" spans="1:24" x14ac:dyDescent="0.4">
      <c r="A99" s="487"/>
      <c r="B99" s="461">
        <f>'Consulting ServicesPP'!B74</f>
        <v>0</v>
      </c>
      <c r="C99" s="461">
        <f>'Consulting ServicesPP'!C74</f>
        <v>0</v>
      </c>
      <c r="D99" s="456"/>
      <c r="E99" s="456"/>
      <c r="F99" s="74" t="str">
        <f>'Consulting ServicesPP'!A47</f>
        <v>Revised</v>
      </c>
      <c r="G99" s="96"/>
      <c r="H99" s="96"/>
      <c r="I99" s="96"/>
      <c r="J99" s="467"/>
      <c r="K99" s="462"/>
      <c r="L99" s="472"/>
      <c r="M99" s="462"/>
      <c r="N99" s="462"/>
      <c r="O99" s="462"/>
      <c r="P99" s="474"/>
      <c r="Q99" s="462"/>
      <c r="R99" s="462"/>
      <c r="S99" s="462"/>
      <c r="T99" s="474"/>
      <c r="U99" s="462"/>
      <c r="V99" s="462"/>
      <c r="W99" s="462"/>
      <c r="X99" s="460"/>
    </row>
    <row r="100" spans="1:24" x14ac:dyDescent="0.4">
      <c r="A100" s="487"/>
      <c r="B100" s="461">
        <f>'Consulting ServicesPP'!B75</f>
        <v>0</v>
      </c>
      <c r="C100" s="461">
        <f>'Consulting ServicesPP'!C75</f>
        <v>0</v>
      </c>
      <c r="D100" s="456"/>
      <c r="E100" s="456"/>
      <c r="F100" s="67" t="str">
        <f>'Consulting ServicesPP'!A48</f>
        <v>Actual</v>
      </c>
      <c r="G100" s="98"/>
      <c r="H100" s="98"/>
      <c r="I100" s="98"/>
      <c r="J100" s="468"/>
      <c r="K100" s="462"/>
      <c r="L100" s="472"/>
      <c r="M100" s="462"/>
      <c r="N100" s="462"/>
      <c r="O100" s="462"/>
      <c r="P100" s="475"/>
      <c r="Q100" s="462"/>
      <c r="R100" s="462"/>
      <c r="S100" s="462"/>
      <c r="T100" s="475"/>
      <c r="U100" s="462"/>
      <c r="V100" s="462"/>
      <c r="W100" s="462"/>
      <c r="X100" s="460"/>
    </row>
    <row r="101" spans="1:24" x14ac:dyDescent="0.4">
      <c r="A101" s="487"/>
      <c r="B101" s="461" t="str">
        <f>'Consulting ServicesPP'!C49</f>
        <v>BWC3-5</v>
      </c>
      <c r="C101" s="461" t="str">
        <f>'Consulting ServicesPP'!D49</f>
        <v>Accounting consultant</v>
      </c>
      <c r="D101" s="456">
        <v>1</v>
      </c>
      <c r="E101" s="456">
        <f>1-D101</f>
        <v>0</v>
      </c>
      <c r="F101" s="66" t="str">
        <f>'Consulting ServicesPP'!A49</f>
        <v>Planned</v>
      </c>
      <c r="G101" s="94"/>
      <c r="H101" s="94"/>
      <c r="I101" s="94"/>
      <c r="J101" s="466"/>
      <c r="K101" s="462"/>
      <c r="L101" s="472">
        <f>'Consulting ServicesPP'!Z49</f>
        <v>0</v>
      </c>
      <c r="M101" s="462">
        <f>'Consulting ServicesPP'!AB49</f>
        <v>0</v>
      </c>
      <c r="N101" s="462">
        <f>'Consulting ServicesPP'!AC49</f>
        <v>0</v>
      </c>
      <c r="O101" s="462">
        <f>'Consulting ServicesPP'!AD49</f>
        <v>0</v>
      </c>
      <c r="P101" s="473"/>
      <c r="Q101" s="462">
        <f>'Consulting ServicesPP'!AG49</f>
        <v>0</v>
      </c>
      <c r="R101" s="462">
        <f>'Consulting ServicesPP'!AH49</f>
        <v>0</v>
      </c>
      <c r="S101" s="462">
        <f>'Consulting ServicesPP'!AI49</f>
        <v>0</v>
      </c>
      <c r="T101" s="473"/>
      <c r="U101" s="462">
        <f>'Consulting ServicesPP'!AK49</f>
        <v>0</v>
      </c>
      <c r="V101" s="462">
        <f>'Consulting ServicesPP'!AL49</f>
        <v>0</v>
      </c>
      <c r="W101" s="462">
        <f>'Consulting ServicesPP'!AM49</f>
        <v>0</v>
      </c>
      <c r="X101" s="460"/>
    </row>
    <row r="102" spans="1:24" x14ac:dyDescent="0.4">
      <c r="A102" s="487"/>
      <c r="B102" s="461">
        <f>'Consulting ServicesPP'!B77</f>
        <v>0</v>
      </c>
      <c r="C102" s="461">
        <f>'Consulting ServicesPP'!C77</f>
        <v>0</v>
      </c>
      <c r="D102" s="456"/>
      <c r="E102" s="456"/>
      <c r="F102" s="74" t="str">
        <f>'Consulting ServicesPP'!A50</f>
        <v>Revised</v>
      </c>
      <c r="G102" s="96"/>
      <c r="H102" s="96"/>
      <c r="I102" s="96"/>
      <c r="J102" s="467"/>
      <c r="K102" s="462"/>
      <c r="L102" s="472"/>
      <c r="M102" s="462"/>
      <c r="N102" s="462"/>
      <c r="O102" s="462"/>
      <c r="P102" s="474"/>
      <c r="Q102" s="462"/>
      <c r="R102" s="462"/>
      <c r="S102" s="462"/>
      <c r="T102" s="474"/>
      <c r="U102" s="462"/>
      <c r="V102" s="462"/>
      <c r="W102" s="462"/>
      <c r="X102" s="460"/>
    </row>
    <row r="103" spans="1:24" x14ac:dyDescent="0.4">
      <c r="A103" s="487"/>
      <c r="B103" s="461">
        <f>'Consulting ServicesPP'!B78</f>
        <v>0</v>
      </c>
      <c r="C103" s="461">
        <f>'Consulting ServicesPP'!C78</f>
        <v>0</v>
      </c>
      <c r="D103" s="456"/>
      <c r="E103" s="456"/>
      <c r="F103" s="67" t="str">
        <f>'Consulting ServicesPP'!A51</f>
        <v>Actual</v>
      </c>
      <c r="G103" s="98"/>
      <c r="H103" s="98"/>
      <c r="I103" s="98"/>
      <c r="J103" s="468"/>
      <c r="K103" s="462"/>
      <c r="L103" s="472"/>
      <c r="M103" s="462"/>
      <c r="N103" s="462"/>
      <c r="O103" s="462"/>
      <c r="P103" s="475"/>
      <c r="Q103" s="462"/>
      <c r="R103" s="462"/>
      <c r="S103" s="462"/>
      <c r="T103" s="475"/>
      <c r="U103" s="462"/>
      <c r="V103" s="462"/>
      <c r="W103" s="462"/>
      <c r="X103" s="460"/>
    </row>
    <row r="104" spans="1:24" s="59" customFormat="1" ht="12.75" x14ac:dyDescent="0.35">
      <c r="A104" s="488"/>
      <c r="B104" s="492" t="s">
        <v>373</v>
      </c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70">
        <f>SUM(M62:M103)</f>
        <v>0</v>
      </c>
      <c r="N104" s="70">
        <f>SUM(N62:N103)</f>
        <v>0</v>
      </c>
      <c r="O104" s="70">
        <f>SUM(O62:O103)</f>
        <v>0</v>
      </c>
      <c r="P104" s="70"/>
      <c r="Q104" s="70">
        <f>SUM(Q62:Q103)</f>
        <v>0</v>
      </c>
      <c r="R104" s="70">
        <f>SUM(R62:R103)</f>
        <v>0</v>
      </c>
      <c r="S104" s="70">
        <f>SUM(S62:S103)</f>
        <v>0</v>
      </c>
      <c r="T104" s="70"/>
      <c r="U104" s="70">
        <f>SUM(U62:U103)</f>
        <v>0</v>
      </c>
      <c r="V104" s="70">
        <f t="shared" ref="V104:W104" si="1">SUM(V62:V103)</f>
        <v>0</v>
      </c>
      <c r="W104" s="70">
        <f t="shared" si="1"/>
        <v>0</v>
      </c>
      <c r="X104" s="338">
        <f>SUM(X62:X103)</f>
        <v>0</v>
      </c>
    </row>
    <row r="105" spans="1:24" ht="6" customHeight="1" x14ac:dyDescent="0.4">
      <c r="A105" s="530"/>
      <c r="B105" s="531"/>
      <c r="C105" s="531"/>
      <c r="D105" s="531"/>
      <c r="E105" s="531"/>
      <c r="F105" s="531"/>
      <c r="G105" s="531"/>
      <c r="H105" s="531"/>
      <c r="I105" s="531"/>
      <c r="J105" s="531"/>
      <c r="K105" s="531"/>
      <c r="L105" s="531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2"/>
    </row>
    <row r="106" spans="1:24" ht="12.75" customHeight="1" x14ac:dyDescent="0.4">
      <c r="A106" s="486" t="s">
        <v>381</v>
      </c>
      <c r="B106" s="493" t="str">
        <f>'Operational CostPP'!C6</f>
        <v>BWG3-2-6</v>
      </c>
      <c r="C106" s="461" t="str">
        <f>'Operational CostPP'!D6</f>
        <v>Stationary Shopping (2014)</v>
      </c>
      <c r="D106" s="456">
        <f>'Operational CostPP'!G6</f>
        <v>0.66</v>
      </c>
      <c r="E106" s="456">
        <f>'Operational CostPP'!H6</f>
        <v>0.33999999999999997</v>
      </c>
      <c r="F106" s="65" t="str">
        <f>'Operational CostPP'!A6</f>
        <v>Planned</v>
      </c>
      <c r="G106" s="95">
        <f>'Operational CostPP'!F6</f>
        <v>0</v>
      </c>
      <c r="H106" s="95">
        <f>'Operational CostPP'!I6</f>
        <v>0</v>
      </c>
      <c r="I106" s="95">
        <f>'Operational CostPP'!J6</f>
        <v>0</v>
      </c>
      <c r="J106" s="457" t="str">
        <f>'Operational CostPP'!AF6</f>
        <v>Librairie Halim
(Dora - Lebanon)</v>
      </c>
      <c r="K106" s="462"/>
      <c r="L106" s="472"/>
      <c r="M106" s="462"/>
      <c r="N106" s="462"/>
      <c r="O106" s="462"/>
      <c r="P106" s="473"/>
      <c r="Q106" s="462"/>
      <c r="R106" s="462"/>
      <c r="S106" s="462"/>
      <c r="T106" s="473"/>
      <c r="U106" s="462"/>
      <c r="V106" s="462"/>
      <c r="W106" s="462"/>
      <c r="X106" s="460"/>
    </row>
    <row r="107" spans="1:24" x14ac:dyDescent="0.4">
      <c r="A107" s="487"/>
      <c r="B107" s="493">
        <f>'Operational CostPP'!C7</f>
        <v>0</v>
      </c>
      <c r="C107" s="461">
        <f>'Operational CostPP'!D66</f>
        <v>0</v>
      </c>
      <c r="D107" s="456">
        <f>'Operational CostPP'!G66</f>
        <v>0</v>
      </c>
      <c r="E107" s="456">
        <f>'Operational CostPP'!H66</f>
        <v>0</v>
      </c>
      <c r="F107" s="68" t="str">
        <f>'Operational CostPP'!A7</f>
        <v>Revised</v>
      </c>
      <c r="G107" s="97">
        <f>'Operational CostPP'!F7</f>
        <v>0</v>
      </c>
      <c r="H107" s="97">
        <f>'Operational CostPP'!I7</f>
        <v>0</v>
      </c>
      <c r="I107" s="97">
        <f>'Operational CostPP'!J7</f>
        <v>0</v>
      </c>
      <c r="J107" s="458"/>
      <c r="K107" s="462"/>
      <c r="L107" s="472"/>
      <c r="M107" s="462"/>
      <c r="N107" s="462"/>
      <c r="O107" s="462"/>
      <c r="P107" s="474"/>
      <c r="Q107" s="462"/>
      <c r="R107" s="462"/>
      <c r="S107" s="462"/>
      <c r="T107" s="474"/>
      <c r="U107" s="462"/>
      <c r="V107" s="462"/>
      <c r="W107" s="462"/>
      <c r="X107" s="460"/>
    </row>
    <row r="108" spans="1:24" x14ac:dyDescent="0.4">
      <c r="A108" s="487"/>
      <c r="B108" s="493">
        <f>'Operational CostPP'!C8</f>
        <v>0</v>
      </c>
      <c r="C108" s="461">
        <f>'Operational CostPP'!D67</f>
        <v>0</v>
      </c>
      <c r="D108" s="456">
        <f>'Operational CostPP'!G67</f>
        <v>0</v>
      </c>
      <c r="E108" s="456">
        <f>'Operational CostPP'!H67</f>
        <v>0</v>
      </c>
      <c r="F108" s="69" t="str">
        <f>'Operational CostPP'!A8</f>
        <v>Actual</v>
      </c>
      <c r="G108" s="99">
        <f>'Operational CostPP'!F8</f>
        <v>0</v>
      </c>
      <c r="H108" s="99">
        <f>'Operational CostPP'!I8</f>
        <v>0</v>
      </c>
      <c r="I108" s="99">
        <f>'Operational CostPP'!J8</f>
        <v>0</v>
      </c>
      <c r="J108" s="459"/>
      <c r="K108" s="462"/>
      <c r="L108" s="472"/>
      <c r="M108" s="462"/>
      <c r="N108" s="462"/>
      <c r="O108" s="462"/>
      <c r="P108" s="475"/>
      <c r="Q108" s="462"/>
      <c r="R108" s="462"/>
      <c r="S108" s="462"/>
      <c r="T108" s="475"/>
      <c r="U108" s="462"/>
      <c r="V108" s="462"/>
      <c r="W108" s="462"/>
      <c r="X108" s="460"/>
    </row>
    <row r="109" spans="1:24" x14ac:dyDescent="0.4">
      <c r="A109" s="487"/>
      <c r="B109" s="493" t="str">
        <f>'Operational CostPP'!C9</f>
        <v>BWG3-2-7</v>
      </c>
      <c r="C109" s="461" t="str">
        <f>'Operational CostPP'!D9</f>
        <v>Consumables Shopping (2014)</v>
      </c>
      <c r="D109" s="456">
        <f>'Operational CostPP'!G9</f>
        <v>0.66</v>
      </c>
      <c r="E109" s="456">
        <f>'Operational CostPP'!H9</f>
        <v>0.33999999999999997</v>
      </c>
      <c r="F109" s="65" t="str">
        <f>'Operational CostPP'!A9</f>
        <v>Planned</v>
      </c>
      <c r="G109" s="95">
        <f>'Operational CostPP'!F9</f>
        <v>0</v>
      </c>
      <c r="H109" s="95">
        <f>'Operational CostPP'!I9</f>
        <v>0</v>
      </c>
      <c r="I109" s="95">
        <f>'Operational CostPP'!J9</f>
        <v>0</v>
      </c>
      <c r="J109" s="457"/>
      <c r="K109" s="462">
        <f>'Operational CostPP'!Z9</f>
        <v>0</v>
      </c>
      <c r="L109" s="472">
        <f>'Operational CostPP'!AA9</f>
        <v>0</v>
      </c>
      <c r="M109" s="462">
        <f>'Operational CostPP'!AB9</f>
        <v>0</v>
      </c>
      <c r="N109" s="462">
        <f>'Operational CostPP'!AC9</f>
        <v>0</v>
      </c>
      <c r="O109" s="462">
        <f>'Operational CostPP'!AD9</f>
        <v>0</v>
      </c>
      <c r="P109" s="473"/>
      <c r="Q109" s="462">
        <f>'Operational CostPP'!AH9</f>
        <v>0</v>
      </c>
      <c r="R109" s="462">
        <f>'Operational CostPP'!AI9</f>
        <v>0</v>
      </c>
      <c r="S109" s="462">
        <f>'Operational CostPP'!AJ9</f>
        <v>0</v>
      </c>
      <c r="T109" s="473"/>
      <c r="U109" s="462">
        <f>'Operational CostPP'!AK9</f>
        <v>0</v>
      </c>
      <c r="V109" s="462">
        <f>'Operational CostPP'!AL9</f>
        <v>0</v>
      </c>
      <c r="W109" s="462">
        <f>'Operational CostPP'!AM9</f>
        <v>0</v>
      </c>
      <c r="X109" s="460"/>
    </row>
    <row r="110" spans="1:24" x14ac:dyDescent="0.4">
      <c r="A110" s="487"/>
      <c r="B110" s="493">
        <f>'Operational CostPP'!C10</f>
        <v>0</v>
      </c>
      <c r="C110" s="461">
        <f>'Operational CostPP'!D69</f>
        <v>0</v>
      </c>
      <c r="D110" s="456">
        <f>'Operational CostPP'!G69</f>
        <v>0</v>
      </c>
      <c r="E110" s="456">
        <f>'Operational CostPP'!H69</f>
        <v>0</v>
      </c>
      <c r="F110" s="68" t="str">
        <f>'Operational CostPP'!A10</f>
        <v>Revised</v>
      </c>
      <c r="G110" s="97">
        <f>'Operational CostPP'!F10</f>
        <v>0</v>
      </c>
      <c r="H110" s="97">
        <f>'Operational CostPP'!I10</f>
        <v>0</v>
      </c>
      <c r="I110" s="97">
        <f>'Operational CostPP'!J10</f>
        <v>0</v>
      </c>
      <c r="J110" s="458"/>
      <c r="K110" s="462">
        <f>'Operational CostPP'!Z69</f>
        <v>0</v>
      </c>
      <c r="L110" s="472">
        <f>'Operational CostPP'!AA69</f>
        <v>0</v>
      </c>
      <c r="M110" s="462">
        <f>'Operational CostPP'!AB69</f>
        <v>0</v>
      </c>
      <c r="N110" s="462">
        <f>'Operational CostPP'!AC69</f>
        <v>0</v>
      </c>
      <c r="O110" s="462">
        <f>'Operational CostPP'!AD69</f>
        <v>0</v>
      </c>
      <c r="P110" s="474"/>
      <c r="Q110" s="462">
        <f>'Operational CostPP'!AH69</f>
        <v>0</v>
      </c>
      <c r="R110" s="462">
        <f>'Operational CostPP'!AI69</f>
        <v>0</v>
      </c>
      <c r="S110" s="462">
        <f>'Operational CostPP'!AJ69</f>
        <v>0</v>
      </c>
      <c r="T110" s="474"/>
      <c r="U110" s="462">
        <f>'Operational CostPP'!AK69</f>
        <v>0</v>
      </c>
      <c r="V110" s="462">
        <f>'Operational CostPP'!AL69</f>
        <v>0</v>
      </c>
      <c r="W110" s="462">
        <f>'Operational CostPP'!AM69</f>
        <v>0</v>
      </c>
      <c r="X110" s="460"/>
    </row>
    <row r="111" spans="1:24" x14ac:dyDescent="0.4">
      <c r="A111" s="487"/>
      <c r="B111" s="493">
        <f>'Operational CostPP'!C11</f>
        <v>0</v>
      </c>
      <c r="C111" s="461">
        <f>'Operational CostPP'!D70</f>
        <v>0</v>
      </c>
      <c r="D111" s="456">
        <f>'Operational CostPP'!G70</f>
        <v>0</v>
      </c>
      <c r="E111" s="456">
        <f>'Operational CostPP'!H70</f>
        <v>0</v>
      </c>
      <c r="F111" s="69" t="str">
        <f>'Operational CostPP'!A11</f>
        <v>Actual</v>
      </c>
      <c r="G111" s="99">
        <f>'Operational CostPP'!F11</f>
        <v>0</v>
      </c>
      <c r="H111" s="99">
        <f>'Operational CostPP'!I11</f>
        <v>0</v>
      </c>
      <c r="I111" s="99">
        <f>'Operational CostPP'!J11</f>
        <v>0</v>
      </c>
      <c r="J111" s="459"/>
      <c r="K111" s="462">
        <f>'Operational CostPP'!Z70</f>
        <v>0</v>
      </c>
      <c r="L111" s="472">
        <f>'Operational CostPP'!AA70</f>
        <v>0</v>
      </c>
      <c r="M111" s="462">
        <f>'Operational CostPP'!AB70</f>
        <v>0</v>
      </c>
      <c r="N111" s="462">
        <f>'Operational CostPP'!AC70</f>
        <v>0</v>
      </c>
      <c r="O111" s="462">
        <f>'Operational CostPP'!AD70</f>
        <v>0</v>
      </c>
      <c r="P111" s="475"/>
      <c r="Q111" s="462">
        <f>'Operational CostPP'!AH70</f>
        <v>0</v>
      </c>
      <c r="R111" s="462">
        <f>'Operational CostPP'!AI70</f>
        <v>0</v>
      </c>
      <c r="S111" s="462">
        <f>'Operational CostPP'!AJ70</f>
        <v>0</v>
      </c>
      <c r="T111" s="475"/>
      <c r="U111" s="462">
        <f>'Operational CostPP'!AK70</f>
        <v>0</v>
      </c>
      <c r="V111" s="462">
        <f>'Operational CostPP'!AL70</f>
        <v>0</v>
      </c>
      <c r="W111" s="462">
        <f>'Operational CostPP'!AM70</f>
        <v>0</v>
      </c>
      <c r="X111" s="460"/>
    </row>
    <row r="112" spans="1:24" x14ac:dyDescent="0.4">
      <c r="A112" s="487"/>
      <c r="B112" s="493" t="str">
        <f>'Operational CostPP'!C12</f>
        <v>BWG3-2-8</v>
      </c>
      <c r="C112" s="461" t="str">
        <f>'Operational CostPP'!D12</f>
        <v>Paper Shredder Shopping</v>
      </c>
      <c r="D112" s="456">
        <f>'Operational CostPP'!G12</f>
        <v>0.66</v>
      </c>
      <c r="E112" s="456">
        <f>'Operational CostPP'!H12</f>
        <v>0.33999999999999997</v>
      </c>
      <c r="F112" s="65" t="str">
        <f>'Operational CostPP'!A12</f>
        <v>Planned</v>
      </c>
      <c r="G112" s="95">
        <f>'Operational CostPP'!F12</f>
        <v>0</v>
      </c>
      <c r="H112" s="95">
        <f>'Operational CostPP'!I12</f>
        <v>0</v>
      </c>
      <c r="I112" s="95">
        <f>'Operational CostPP'!J12</f>
        <v>0</v>
      </c>
      <c r="J112" s="457"/>
      <c r="K112" s="462">
        <f>'Operational CostPP'!Z12</f>
        <v>0</v>
      </c>
      <c r="L112" s="472">
        <f>'Operational CostPP'!AA12</f>
        <v>0</v>
      </c>
      <c r="M112" s="462">
        <f>'Operational CostPP'!AB12</f>
        <v>0</v>
      </c>
      <c r="N112" s="462">
        <f>'Operational CostPP'!AC12</f>
        <v>0</v>
      </c>
      <c r="O112" s="462">
        <f>'Operational CostPP'!AD12</f>
        <v>0</v>
      </c>
      <c r="P112" s="473"/>
      <c r="Q112" s="462">
        <f>'Operational CostPP'!AH12</f>
        <v>0</v>
      </c>
      <c r="R112" s="462">
        <f>'Operational CostPP'!AI12</f>
        <v>0</v>
      </c>
      <c r="S112" s="462">
        <f>'Operational CostPP'!AJ12</f>
        <v>0</v>
      </c>
      <c r="T112" s="473"/>
      <c r="U112" s="462">
        <f>'Operational CostPP'!AK12</f>
        <v>0</v>
      </c>
      <c r="V112" s="462">
        <f>'Operational CostPP'!AL12</f>
        <v>0</v>
      </c>
      <c r="W112" s="462">
        <f>'Operational CostPP'!AM12</f>
        <v>0</v>
      </c>
      <c r="X112" s="460"/>
    </row>
    <row r="113" spans="1:24" x14ac:dyDescent="0.4">
      <c r="A113" s="487"/>
      <c r="B113" s="493">
        <f>'Operational CostPP'!C13</f>
        <v>0</v>
      </c>
      <c r="C113" s="461">
        <f>'Operational CostPP'!D72</f>
        <v>0</v>
      </c>
      <c r="D113" s="456">
        <f>'Operational CostPP'!G72</f>
        <v>0</v>
      </c>
      <c r="E113" s="456">
        <f>'Operational CostPP'!H72</f>
        <v>0</v>
      </c>
      <c r="F113" s="68" t="str">
        <f>'Operational CostPP'!A13</f>
        <v>Revised</v>
      </c>
      <c r="G113" s="97">
        <f>'Operational CostPP'!F13</f>
        <v>0</v>
      </c>
      <c r="H113" s="97">
        <f>'Operational CostPP'!I13</f>
        <v>0</v>
      </c>
      <c r="I113" s="97">
        <f>'Operational CostPP'!J13</f>
        <v>0</v>
      </c>
      <c r="J113" s="458"/>
      <c r="K113" s="462">
        <f>'Operational CostPP'!Z72</f>
        <v>0</v>
      </c>
      <c r="L113" s="472">
        <f>'Operational CostPP'!AA72</f>
        <v>0</v>
      </c>
      <c r="M113" s="462">
        <f>'Operational CostPP'!AB72</f>
        <v>0</v>
      </c>
      <c r="N113" s="462">
        <f>'Operational CostPP'!AC72</f>
        <v>0</v>
      </c>
      <c r="O113" s="462">
        <f>'Operational CostPP'!AD72</f>
        <v>0</v>
      </c>
      <c r="P113" s="474"/>
      <c r="Q113" s="462">
        <f>'Operational CostPP'!AH72</f>
        <v>0</v>
      </c>
      <c r="R113" s="462">
        <f>'Operational CostPP'!AI72</f>
        <v>0</v>
      </c>
      <c r="S113" s="462">
        <f>'Operational CostPP'!AJ72</f>
        <v>0</v>
      </c>
      <c r="T113" s="474"/>
      <c r="U113" s="462">
        <f>'Operational CostPP'!AK72</f>
        <v>0</v>
      </c>
      <c r="V113" s="462">
        <f>'Operational CostPP'!AL72</f>
        <v>0</v>
      </c>
      <c r="W113" s="462">
        <f>'Operational CostPP'!AM72</f>
        <v>0</v>
      </c>
      <c r="X113" s="460"/>
    </row>
    <row r="114" spans="1:24" x14ac:dyDescent="0.4">
      <c r="A114" s="487"/>
      <c r="B114" s="493">
        <f>'Operational CostPP'!C14</f>
        <v>0</v>
      </c>
      <c r="C114" s="461">
        <f>'Operational CostPP'!D73</f>
        <v>0</v>
      </c>
      <c r="D114" s="456">
        <f>'Operational CostPP'!G73</f>
        <v>0</v>
      </c>
      <c r="E114" s="456">
        <f>'Operational CostPP'!H73</f>
        <v>0</v>
      </c>
      <c r="F114" s="69" t="str">
        <f>'Operational CostPP'!A14</f>
        <v>Actual</v>
      </c>
      <c r="G114" s="99">
        <f>'Operational CostPP'!F14</f>
        <v>0</v>
      </c>
      <c r="H114" s="99">
        <f>'Operational CostPP'!I14</f>
        <v>0</v>
      </c>
      <c r="I114" s="99">
        <f>'Operational CostPP'!J14</f>
        <v>0</v>
      </c>
      <c r="J114" s="459"/>
      <c r="K114" s="462">
        <f>'Operational CostPP'!Z73</f>
        <v>0</v>
      </c>
      <c r="L114" s="472">
        <f>'Operational CostPP'!AA73</f>
        <v>0</v>
      </c>
      <c r="M114" s="462">
        <f>'Operational CostPP'!AB73</f>
        <v>0</v>
      </c>
      <c r="N114" s="462">
        <f>'Operational CostPP'!AC73</f>
        <v>0</v>
      </c>
      <c r="O114" s="462">
        <f>'Operational CostPP'!AD73</f>
        <v>0</v>
      </c>
      <c r="P114" s="475"/>
      <c r="Q114" s="462">
        <f>'Operational CostPP'!AH73</f>
        <v>0</v>
      </c>
      <c r="R114" s="462">
        <f>'Operational CostPP'!AI73</f>
        <v>0</v>
      </c>
      <c r="S114" s="462">
        <f>'Operational CostPP'!AJ73</f>
        <v>0</v>
      </c>
      <c r="T114" s="475"/>
      <c r="U114" s="462">
        <f>'Operational CostPP'!AK73</f>
        <v>0</v>
      </c>
      <c r="V114" s="462">
        <f>'Operational CostPP'!AL73</f>
        <v>0</v>
      </c>
      <c r="W114" s="462">
        <f>'Operational CostPP'!AM73</f>
        <v>0</v>
      </c>
      <c r="X114" s="460"/>
    </row>
    <row r="115" spans="1:24" x14ac:dyDescent="0.4">
      <c r="A115" s="487"/>
      <c r="B115" s="493" t="str">
        <f>'Operational CostPP'!C15</f>
        <v>BWG3-2-9</v>
      </c>
      <c r="C115" s="461" t="str">
        <f>'Operational CostPP'!D15</f>
        <v>Insurance for 2 vehicules (2014)</v>
      </c>
      <c r="D115" s="456">
        <f>'Operational CostPP'!G15</f>
        <v>0.66</v>
      </c>
      <c r="E115" s="456">
        <f>'Operational CostPP'!H15</f>
        <v>0.33999999999999997</v>
      </c>
      <c r="F115" s="65" t="str">
        <f>'Operational CostPP'!A15</f>
        <v>Planned</v>
      </c>
      <c r="G115" s="95">
        <f>'Operational CostPP'!F15</f>
        <v>0</v>
      </c>
      <c r="H115" s="95">
        <f>'Operational CostPP'!I15</f>
        <v>0</v>
      </c>
      <c r="I115" s="95">
        <f>'Operational CostPP'!J15</f>
        <v>0</v>
      </c>
      <c r="J115" s="457"/>
      <c r="K115" s="462">
        <f>'Operational CostPP'!Z15</f>
        <v>0</v>
      </c>
      <c r="L115" s="472">
        <f>'Operational CostPP'!AA15</f>
        <v>0</v>
      </c>
      <c r="M115" s="462">
        <f>'Operational CostPP'!AB15</f>
        <v>0</v>
      </c>
      <c r="N115" s="462">
        <f>'Operational CostPP'!AC15</f>
        <v>0</v>
      </c>
      <c r="O115" s="462">
        <f>'Operational CostPP'!AD15</f>
        <v>0</v>
      </c>
      <c r="P115" s="473"/>
      <c r="Q115" s="462">
        <f>'Operational CostPP'!AH15</f>
        <v>0</v>
      </c>
      <c r="R115" s="462">
        <f>'Operational CostPP'!AI15</f>
        <v>0</v>
      </c>
      <c r="S115" s="462">
        <f>'Operational CostPP'!AJ15</f>
        <v>0</v>
      </c>
      <c r="T115" s="473"/>
      <c r="U115" s="462">
        <f>'Operational CostPP'!AK15</f>
        <v>0</v>
      </c>
      <c r="V115" s="462">
        <f>'Operational CostPP'!AL15</f>
        <v>0</v>
      </c>
      <c r="W115" s="462">
        <f>'Operational CostPP'!AM15</f>
        <v>0</v>
      </c>
      <c r="X115" s="460"/>
    </row>
    <row r="116" spans="1:24" x14ac:dyDescent="0.4">
      <c r="A116" s="487"/>
      <c r="B116" s="493">
        <f>'Operational CostPP'!C16</f>
        <v>0</v>
      </c>
      <c r="C116" s="461">
        <f>'Operational CostPP'!D75</f>
        <v>0</v>
      </c>
      <c r="D116" s="456">
        <f>'Operational CostPP'!G75</f>
        <v>0</v>
      </c>
      <c r="E116" s="456">
        <f>'Operational CostPP'!H75</f>
        <v>0</v>
      </c>
      <c r="F116" s="68" t="str">
        <f>'Operational CostPP'!A16</f>
        <v>Revised</v>
      </c>
      <c r="G116" s="97">
        <f>'Operational CostPP'!F16</f>
        <v>0</v>
      </c>
      <c r="H116" s="97">
        <f>'Operational CostPP'!I16</f>
        <v>0</v>
      </c>
      <c r="I116" s="97">
        <f>'Operational CostPP'!J16</f>
        <v>0</v>
      </c>
      <c r="J116" s="458"/>
      <c r="K116" s="462">
        <f>'Operational CostPP'!Z75</f>
        <v>0</v>
      </c>
      <c r="L116" s="472">
        <f>'Operational CostPP'!AA75</f>
        <v>0</v>
      </c>
      <c r="M116" s="462">
        <f>'Operational CostPP'!AB75</f>
        <v>0</v>
      </c>
      <c r="N116" s="462">
        <f>'Operational CostPP'!AC75</f>
        <v>0</v>
      </c>
      <c r="O116" s="462">
        <f>'Operational CostPP'!AD75</f>
        <v>0</v>
      </c>
      <c r="P116" s="474"/>
      <c r="Q116" s="462">
        <f>'Operational CostPP'!AH75</f>
        <v>0</v>
      </c>
      <c r="R116" s="462">
        <f>'Operational CostPP'!AI75</f>
        <v>0</v>
      </c>
      <c r="S116" s="462">
        <f>'Operational CostPP'!AJ75</f>
        <v>0</v>
      </c>
      <c r="T116" s="474"/>
      <c r="U116" s="462">
        <f>'Operational CostPP'!AK75</f>
        <v>0</v>
      </c>
      <c r="V116" s="462">
        <f>'Operational CostPP'!AL75</f>
        <v>0</v>
      </c>
      <c r="W116" s="462">
        <f>'Operational CostPP'!AM75</f>
        <v>0</v>
      </c>
      <c r="X116" s="460"/>
    </row>
    <row r="117" spans="1:24" x14ac:dyDescent="0.4">
      <c r="A117" s="487"/>
      <c r="B117" s="493">
        <f>'Operational CostPP'!C17</f>
        <v>0</v>
      </c>
      <c r="C117" s="461">
        <f>'Operational CostPP'!D76</f>
        <v>0</v>
      </c>
      <c r="D117" s="456">
        <f>'Operational CostPP'!G76</f>
        <v>0</v>
      </c>
      <c r="E117" s="456">
        <f>'Operational CostPP'!H76</f>
        <v>0</v>
      </c>
      <c r="F117" s="69" t="str">
        <f>'Operational CostPP'!A17</f>
        <v>Actual</v>
      </c>
      <c r="G117" s="99">
        <f>'Operational CostPP'!F17</f>
        <v>0</v>
      </c>
      <c r="H117" s="99">
        <f>'Operational CostPP'!I17</f>
        <v>0</v>
      </c>
      <c r="I117" s="99">
        <f>'Operational CostPP'!J17</f>
        <v>0</v>
      </c>
      <c r="J117" s="459"/>
      <c r="K117" s="462">
        <f>'Operational CostPP'!Z76</f>
        <v>0</v>
      </c>
      <c r="L117" s="472">
        <f>'Operational CostPP'!AA76</f>
        <v>0</v>
      </c>
      <c r="M117" s="462">
        <f>'Operational CostPP'!AB76</f>
        <v>0</v>
      </c>
      <c r="N117" s="462">
        <f>'Operational CostPP'!AC76</f>
        <v>0</v>
      </c>
      <c r="O117" s="462">
        <f>'Operational CostPP'!AD76</f>
        <v>0</v>
      </c>
      <c r="P117" s="475"/>
      <c r="Q117" s="462">
        <f>'Operational CostPP'!AH76</f>
        <v>0</v>
      </c>
      <c r="R117" s="462">
        <f>'Operational CostPP'!AI76</f>
        <v>0</v>
      </c>
      <c r="S117" s="462">
        <f>'Operational CostPP'!AJ76</f>
        <v>0</v>
      </c>
      <c r="T117" s="475"/>
      <c r="U117" s="462">
        <f>'Operational CostPP'!AK76</f>
        <v>0</v>
      </c>
      <c r="V117" s="462">
        <f>'Operational CostPP'!AL76</f>
        <v>0</v>
      </c>
      <c r="W117" s="462">
        <f>'Operational CostPP'!AM76</f>
        <v>0</v>
      </c>
      <c r="X117" s="460"/>
    </row>
    <row r="118" spans="1:24" x14ac:dyDescent="0.4">
      <c r="A118" s="487"/>
      <c r="B118" s="493" t="str">
        <f>'Operational CostPP'!C18</f>
        <v>BWG3-2-10</v>
      </c>
      <c r="C118" s="461" t="str">
        <f>'Operational CostPP'!D18</f>
        <v>Fuel oil for 2 vehicules (2014)</v>
      </c>
      <c r="D118" s="456">
        <f>'Operational CostPP'!G18</f>
        <v>0.66</v>
      </c>
      <c r="E118" s="456">
        <f>'Operational CostPP'!H18</f>
        <v>0.33999999999999997</v>
      </c>
      <c r="F118" s="65" t="str">
        <f>'Operational CostPP'!A18</f>
        <v>Planned</v>
      </c>
      <c r="G118" s="95">
        <f>'Operational CostPP'!F18</f>
        <v>0</v>
      </c>
      <c r="H118" s="95">
        <f>'Operational CostPP'!I18</f>
        <v>0</v>
      </c>
      <c r="I118" s="95">
        <f>'Operational CostPP'!J18</f>
        <v>0</v>
      </c>
      <c r="J118" s="457"/>
      <c r="K118" s="462">
        <f>'Operational CostPP'!Z18</f>
        <v>0</v>
      </c>
      <c r="L118" s="472">
        <f>'Operational CostPP'!AA18</f>
        <v>0</v>
      </c>
      <c r="M118" s="462">
        <f>'Operational CostPP'!AB18</f>
        <v>0</v>
      </c>
      <c r="N118" s="462">
        <f>'Operational CostPP'!AC18</f>
        <v>0</v>
      </c>
      <c r="O118" s="462">
        <f>'Operational CostPP'!AD18</f>
        <v>0</v>
      </c>
      <c r="P118" s="473"/>
      <c r="Q118" s="462">
        <f>'Operational CostPP'!AH18</f>
        <v>0</v>
      </c>
      <c r="R118" s="462">
        <f>'Operational CostPP'!AI18</f>
        <v>0</v>
      </c>
      <c r="S118" s="462">
        <f>'Operational CostPP'!AJ18</f>
        <v>0</v>
      </c>
      <c r="T118" s="473"/>
      <c r="U118" s="462">
        <f>'Operational CostPP'!AK18</f>
        <v>0</v>
      </c>
      <c r="V118" s="462">
        <f>'Operational CostPP'!AL18</f>
        <v>0</v>
      </c>
      <c r="W118" s="462">
        <f>'Operational CostPP'!AM18</f>
        <v>0</v>
      </c>
      <c r="X118" s="460"/>
    </row>
    <row r="119" spans="1:24" x14ac:dyDescent="0.4">
      <c r="A119" s="487"/>
      <c r="B119" s="493">
        <f>'Operational CostPP'!C19</f>
        <v>0</v>
      </c>
      <c r="C119" s="461">
        <f>'Operational CostPP'!D78</f>
        <v>0</v>
      </c>
      <c r="D119" s="456">
        <f>'Operational CostPP'!G78</f>
        <v>0</v>
      </c>
      <c r="E119" s="456">
        <f>'Operational CostPP'!H78</f>
        <v>0</v>
      </c>
      <c r="F119" s="68" t="str">
        <f>'Operational CostPP'!A19</f>
        <v>Revised</v>
      </c>
      <c r="G119" s="97">
        <f>'Operational CostPP'!F19</f>
        <v>0</v>
      </c>
      <c r="H119" s="97">
        <f>'Operational CostPP'!I19</f>
        <v>0</v>
      </c>
      <c r="I119" s="97">
        <f>'Operational CostPP'!J19</f>
        <v>0</v>
      </c>
      <c r="J119" s="458"/>
      <c r="K119" s="462">
        <f>'Operational CostPP'!Z78</f>
        <v>0</v>
      </c>
      <c r="L119" s="472">
        <f>'Operational CostPP'!AA78</f>
        <v>0</v>
      </c>
      <c r="M119" s="462">
        <f>'Operational CostPP'!AB78</f>
        <v>0</v>
      </c>
      <c r="N119" s="462">
        <f>'Operational CostPP'!AC78</f>
        <v>0</v>
      </c>
      <c r="O119" s="462">
        <f>'Operational CostPP'!AD78</f>
        <v>0</v>
      </c>
      <c r="P119" s="474"/>
      <c r="Q119" s="462">
        <f>'Operational CostPP'!AH78</f>
        <v>0</v>
      </c>
      <c r="R119" s="462">
        <f>'Operational CostPP'!AI78</f>
        <v>0</v>
      </c>
      <c r="S119" s="462">
        <f>'Operational CostPP'!AJ78</f>
        <v>0</v>
      </c>
      <c r="T119" s="474"/>
      <c r="U119" s="462">
        <f>'Operational CostPP'!AK78</f>
        <v>0</v>
      </c>
      <c r="V119" s="462">
        <f>'Operational CostPP'!AL78</f>
        <v>0</v>
      </c>
      <c r="W119" s="462">
        <f>'Operational CostPP'!AM78</f>
        <v>0</v>
      </c>
      <c r="X119" s="460"/>
    </row>
    <row r="120" spans="1:24" x14ac:dyDescent="0.4">
      <c r="A120" s="487"/>
      <c r="B120" s="493">
        <f>'Operational CostPP'!C20</f>
        <v>0</v>
      </c>
      <c r="C120" s="461">
        <f>'Operational CostPP'!D79</f>
        <v>0</v>
      </c>
      <c r="D120" s="456">
        <f>'Operational CostPP'!G79</f>
        <v>0</v>
      </c>
      <c r="E120" s="456">
        <f>'Operational CostPP'!H79</f>
        <v>0</v>
      </c>
      <c r="F120" s="69" t="str">
        <f>'Operational CostPP'!A20</f>
        <v>Actual</v>
      </c>
      <c r="G120" s="99">
        <f>'Operational CostPP'!F20</f>
        <v>0</v>
      </c>
      <c r="H120" s="99">
        <f>'Operational CostPP'!I20</f>
        <v>0</v>
      </c>
      <c r="I120" s="99">
        <f>'Operational CostPP'!J20</f>
        <v>0</v>
      </c>
      <c r="J120" s="459"/>
      <c r="K120" s="462">
        <f>'Operational CostPP'!Z79</f>
        <v>0</v>
      </c>
      <c r="L120" s="472">
        <f>'Operational CostPP'!AA79</f>
        <v>0</v>
      </c>
      <c r="M120" s="462">
        <f>'Operational CostPP'!AB79</f>
        <v>0</v>
      </c>
      <c r="N120" s="462">
        <f>'Operational CostPP'!AC79</f>
        <v>0</v>
      </c>
      <c r="O120" s="462">
        <f>'Operational CostPP'!AD79</f>
        <v>0</v>
      </c>
      <c r="P120" s="475"/>
      <c r="Q120" s="462">
        <f>'Operational CostPP'!AH79</f>
        <v>0</v>
      </c>
      <c r="R120" s="462">
        <f>'Operational CostPP'!AI79</f>
        <v>0</v>
      </c>
      <c r="S120" s="462">
        <f>'Operational CostPP'!AJ79</f>
        <v>0</v>
      </c>
      <c r="T120" s="475"/>
      <c r="U120" s="462">
        <f>'Operational CostPP'!AK79</f>
        <v>0</v>
      </c>
      <c r="V120" s="462">
        <f>'Operational CostPP'!AL79</f>
        <v>0</v>
      </c>
      <c r="W120" s="462">
        <f>'Operational CostPP'!AM79</f>
        <v>0</v>
      </c>
      <c r="X120" s="460"/>
    </row>
    <row r="121" spans="1:24" x14ac:dyDescent="0.4">
      <c r="A121" s="487"/>
      <c r="B121" s="493" t="str">
        <f>'Operational CostPP'!C21</f>
        <v>BWG3-2-11</v>
      </c>
      <c r="C121" s="461" t="str">
        <f>'Operational CostPP'!D21</f>
        <v>Stationary Shopping (2015)</v>
      </c>
      <c r="D121" s="456">
        <f>'Operational CostPP'!G21</f>
        <v>0.66</v>
      </c>
      <c r="E121" s="456">
        <f>'Operational CostPP'!H21</f>
        <v>0.33999999999999997</v>
      </c>
      <c r="F121" s="65" t="str">
        <f>'Operational CostPP'!A21</f>
        <v>Planned</v>
      </c>
      <c r="G121" s="95">
        <f>'Operational CostPP'!F21</f>
        <v>0</v>
      </c>
      <c r="H121" s="95">
        <f>'Operational CostPP'!I21</f>
        <v>0</v>
      </c>
      <c r="I121" s="95">
        <f>'Operational CostPP'!J21</f>
        <v>0</v>
      </c>
      <c r="J121" s="457" t="str">
        <f>'Operational CostPP'!AF21</f>
        <v>Maliks
(Beirut - Lebanon)</v>
      </c>
      <c r="K121" s="462"/>
      <c r="L121" s="472"/>
      <c r="M121" s="462"/>
      <c r="N121" s="462"/>
      <c r="O121" s="462"/>
      <c r="P121" s="473"/>
      <c r="Q121" s="462"/>
      <c r="R121" s="462"/>
      <c r="S121" s="462"/>
      <c r="T121" s="473"/>
      <c r="U121" s="462"/>
      <c r="V121" s="462"/>
      <c r="W121" s="462"/>
      <c r="X121" s="460"/>
    </row>
    <row r="122" spans="1:24" x14ac:dyDescent="0.4">
      <c r="A122" s="487"/>
      <c r="B122" s="493">
        <f>'Operational CostPP'!C22</f>
        <v>0</v>
      </c>
      <c r="C122" s="461">
        <f>'Operational CostPP'!D81</f>
        <v>0</v>
      </c>
      <c r="D122" s="456">
        <f>'Operational CostPP'!G81</f>
        <v>0</v>
      </c>
      <c r="E122" s="456">
        <f>'Operational CostPP'!H81</f>
        <v>0</v>
      </c>
      <c r="F122" s="68" t="str">
        <f>'Operational CostPP'!A22</f>
        <v>Revised</v>
      </c>
      <c r="G122" s="97">
        <f>'Operational CostPP'!F22</f>
        <v>0</v>
      </c>
      <c r="H122" s="97">
        <f>'Operational CostPP'!I22</f>
        <v>0</v>
      </c>
      <c r="I122" s="97">
        <f>'Operational CostPP'!J22</f>
        <v>0</v>
      </c>
      <c r="J122" s="458"/>
      <c r="K122" s="462"/>
      <c r="L122" s="472"/>
      <c r="M122" s="462"/>
      <c r="N122" s="462"/>
      <c r="O122" s="462"/>
      <c r="P122" s="474"/>
      <c r="Q122" s="462"/>
      <c r="R122" s="462"/>
      <c r="S122" s="462"/>
      <c r="T122" s="474"/>
      <c r="U122" s="462"/>
      <c r="V122" s="462"/>
      <c r="W122" s="462"/>
      <c r="X122" s="460"/>
    </row>
    <row r="123" spans="1:24" x14ac:dyDescent="0.4">
      <c r="A123" s="487"/>
      <c r="B123" s="493">
        <f>'Operational CostPP'!C23</f>
        <v>0</v>
      </c>
      <c r="C123" s="461">
        <f>'Operational CostPP'!D82</f>
        <v>0</v>
      </c>
      <c r="D123" s="456">
        <f>'Operational CostPP'!G82</f>
        <v>0</v>
      </c>
      <c r="E123" s="456">
        <f>'Operational CostPP'!H82</f>
        <v>0</v>
      </c>
      <c r="F123" s="69" t="str">
        <f>'Operational CostPP'!A23</f>
        <v>Actual</v>
      </c>
      <c r="G123" s="99">
        <f>'Operational CostPP'!F23</f>
        <v>0</v>
      </c>
      <c r="H123" s="99">
        <f>'Operational CostPP'!I23</f>
        <v>0</v>
      </c>
      <c r="I123" s="99">
        <f>'Operational CostPP'!J23</f>
        <v>0</v>
      </c>
      <c r="J123" s="459"/>
      <c r="K123" s="462"/>
      <c r="L123" s="472"/>
      <c r="M123" s="462"/>
      <c r="N123" s="462"/>
      <c r="O123" s="462"/>
      <c r="P123" s="475"/>
      <c r="Q123" s="462"/>
      <c r="R123" s="462"/>
      <c r="S123" s="462"/>
      <c r="T123" s="475"/>
      <c r="U123" s="462"/>
      <c r="V123" s="462"/>
      <c r="W123" s="462"/>
      <c r="X123" s="460"/>
    </row>
    <row r="124" spans="1:24" x14ac:dyDescent="0.4">
      <c r="A124" s="487"/>
      <c r="B124" s="493" t="str">
        <f>'Operational CostPP'!C24</f>
        <v>BWG3-2-12</v>
      </c>
      <c r="C124" s="461" t="str">
        <f>'Operational CostPP'!D24</f>
        <v>Fuel oil for 2 vehicules (2015)</v>
      </c>
      <c r="D124" s="456">
        <f>'Operational CostPP'!G24</f>
        <v>0.66</v>
      </c>
      <c r="E124" s="456">
        <f>'Operational CostPP'!H24</f>
        <v>0.33999999999999997</v>
      </c>
      <c r="F124" s="65" t="str">
        <f>'Operational CostPP'!A24</f>
        <v>Planned</v>
      </c>
      <c r="G124" s="95">
        <f>'Operational CostPP'!F24</f>
        <v>0</v>
      </c>
      <c r="H124" s="95">
        <f>'Operational CostPP'!I24</f>
        <v>0</v>
      </c>
      <c r="I124" s="95">
        <f>'Operational CostPP'!J24</f>
        <v>0</v>
      </c>
      <c r="J124" s="457"/>
      <c r="K124" s="462">
        <f>'Operational CostPP'!Z24</f>
        <v>0</v>
      </c>
      <c r="L124" s="472">
        <f>'Operational CostPP'!AA24</f>
        <v>0</v>
      </c>
      <c r="M124" s="462">
        <f>'Operational CostPP'!AB24</f>
        <v>0</v>
      </c>
      <c r="N124" s="462">
        <f>'Operational CostPP'!AC24</f>
        <v>0</v>
      </c>
      <c r="O124" s="462">
        <f>'Operational CostPP'!AD24</f>
        <v>0</v>
      </c>
      <c r="P124" s="473"/>
      <c r="Q124" s="462">
        <f>'Operational CostPP'!AH24</f>
        <v>0</v>
      </c>
      <c r="R124" s="462">
        <f>'Operational CostPP'!AI24</f>
        <v>0</v>
      </c>
      <c r="S124" s="462">
        <f>'Operational CostPP'!AJ24</f>
        <v>0</v>
      </c>
      <c r="T124" s="473"/>
      <c r="U124" s="462">
        <f>'Operational CostPP'!AK24</f>
        <v>0</v>
      </c>
      <c r="V124" s="462">
        <f>'Operational CostPP'!AL24</f>
        <v>0</v>
      </c>
      <c r="W124" s="462">
        <f>'Operational CostPP'!AM24</f>
        <v>0</v>
      </c>
      <c r="X124" s="460"/>
    </row>
    <row r="125" spans="1:24" x14ac:dyDescent="0.4">
      <c r="A125" s="487"/>
      <c r="B125" s="493">
        <f>'Operational CostPP'!C25</f>
        <v>0</v>
      </c>
      <c r="C125" s="461">
        <f>'Operational CostPP'!D84</f>
        <v>0</v>
      </c>
      <c r="D125" s="456">
        <f>'Operational CostPP'!G84</f>
        <v>0</v>
      </c>
      <c r="E125" s="456">
        <f>'Operational CostPP'!H84</f>
        <v>0</v>
      </c>
      <c r="F125" s="68" t="str">
        <f>'Operational CostPP'!A25</f>
        <v>Revised</v>
      </c>
      <c r="G125" s="97">
        <f>'Operational CostPP'!F25</f>
        <v>0</v>
      </c>
      <c r="H125" s="97">
        <f>'Operational CostPP'!I25</f>
        <v>0</v>
      </c>
      <c r="I125" s="97">
        <f>'Operational CostPP'!J25</f>
        <v>0</v>
      </c>
      <c r="J125" s="458"/>
      <c r="K125" s="462">
        <f>'Operational CostPP'!Z84</f>
        <v>0</v>
      </c>
      <c r="L125" s="472">
        <f>'Operational CostPP'!AA84</f>
        <v>0</v>
      </c>
      <c r="M125" s="462">
        <f>'Operational CostPP'!AB84</f>
        <v>0</v>
      </c>
      <c r="N125" s="462">
        <f>'Operational CostPP'!AC84</f>
        <v>0</v>
      </c>
      <c r="O125" s="462">
        <f>'Operational CostPP'!AD84</f>
        <v>0</v>
      </c>
      <c r="P125" s="474"/>
      <c r="Q125" s="462">
        <f>'Operational CostPP'!AH84</f>
        <v>0</v>
      </c>
      <c r="R125" s="462">
        <f>'Operational CostPP'!AI84</f>
        <v>0</v>
      </c>
      <c r="S125" s="462">
        <f>'Operational CostPP'!AJ84</f>
        <v>0</v>
      </c>
      <c r="T125" s="474"/>
      <c r="U125" s="462">
        <f>'Operational CostPP'!AK84</f>
        <v>0</v>
      </c>
      <c r="V125" s="462">
        <f>'Operational CostPP'!AL84</f>
        <v>0</v>
      </c>
      <c r="W125" s="462">
        <f>'Operational CostPP'!AM84</f>
        <v>0</v>
      </c>
      <c r="X125" s="460"/>
    </row>
    <row r="126" spans="1:24" x14ac:dyDescent="0.4">
      <c r="A126" s="487"/>
      <c r="B126" s="493">
        <f>'Operational CostPP'!C26</f>
        <v>0</v>
      </c>
      <c r="C126" s="461">
        <f>'Operational CostPP'!D85</f>
        <v>0</v>
      </c>
      <c r="D126" s="456">
        <f>'Operational CostPP'!G85</f>
        <v>0</v>
      </c>
      <c r="E126" s="456">
        <f>'Operational CostPP'!H85</f>
        <v>0</v>
      </c>
      <c r="F126" s="69" t="str">
        <f>'Operational CostPP'!A26</f>
        <v>Actual</v>
      </c>
      <c r="G126" s="99">
        <f>'Operational CostPP'!F26</f>
        <v>0</v>
      </c>
      <c r="H126" s="99">
        <f>'Operational CostPP'!I26</f>
        <v>0</v>
      </c>
      <c r="I126" s="99">
        <f>'Operational CostPP'!J26</f>
        <v>0</v>
      </c>
      <c r="J126" s="459"/>
      <c r="K126" s="462">
        <f>'Operational CostPP'!Z85</f>
        <v>0</v>
      </c>
      <c r="L126" s="472">
        <f>'Operational CostPP'!AA85</f>
        <v>0</v>
      </c>
      <c r="M126" s="462">
        <f>'Operational CostPP'!AB85</f>
        <v>0</v>
      </c>
      <c r="N126" s="462">
        <f>'Operational CostPP'!AC85</f>
        <v>0</v>
      </c>
      <c r="O126" s="462">
        <f>'Operational CostPP'!AD85</f>
        <v>0</v>
      </c>
      <c r="P126" s="475"/>
      <c r="Q126" s="462">
        <f>'Operational CostPP'!AH85</f>
        <v>0</v>
      </c>
      <c r="R126" s="462">
        <f>'Operational CostPP'!AI85</f>
        <v>0</v>
      </c>
      <c r="S126" s="462">
        <f>'Operational CostPP'!AJ85</f>
        <v>0</v>
      </c>
      <c r="T126" s="475"/>
      <c r="U126" s="462">
        <f>'Operational CostPP'!AK85</f>
        <v>0</v>
      </c>
      <c r="V126" s="462">
        <f>'Operational CostPP'!AL85</f>
        <v>0</v>
      </c>
      <c r="W126" s="462">
        <f>'Operational CostPP'!AM85</f>
        <v>0</v>
      </c>
      <c r="X126" s="460"/>
    </row>
    <row r="127" spans="1:24" ht="12.75" customHeight="1" x14ac:dyDescent="0.4">
      <c r="A127" s="487"/>
      <c r="B127" s="497" t="str">
        <f>'Operational CostPP'!C27</f>
        <v>BWG3-2-13</v>
      </c>
      <c r="C127" s="500" t="str">
        <f>'Operational CostPP'!D27</f>
        <v>Consumables Shopping (2015)</v>
      </c>
      <c r="D127" s="494">
        <f>'Operational CostPP'!G27</f>
        <v>0.66</v>
      </c>
      <c r="E127" s="494">
        <f>'Operational CostPP'!H27</f>
        <v>0.33999999999999997</v>
      </c>
      <c r="F127" s="65" t="str">
        <f>'Operational CostPP'!A27</f>
        <v>Planned</v>
      </c>
      <c r="G127" s="95">
        <f>'Operational CostPP'!F27</f>
        <v>0</v>
      </c>
      <c r="H127" s="95">
        <f>'Operational CostPP'!I27</f>
        <v>0</v>
      </c>
      <c r="I127" s="95">
        <f>'Operational CostPP'!J27</f>
        <v>0</v>
      </c>
      <c r="J127" s="457"/>
      <c r="K127" s="480">
        <f>'Operational CostPP'!Z27</f>
        <v>0</v>
      </c>
      <c r="L127" s="503">
        <f>'Operational CostPP'!AA27</f>
        <v>0</v>
      </c>
      <c r="M127" s="480">
        <f>'Operational CostPP'!AB27</f>
        <v>0</v>
      </c>
      <c r="N127" s="480">
        <f>'Operational CostPP'!AC27</f>
        <v>0</v>
      </c>
      <c r="O127" s="480">
        <f>'Operational CostPP'!AD27</f>
        <v>0</v>
      </c>
      <c r="P127" s="473"/>
      <c r="Q127" s="480">
        <f>'Operational CostPP'!AH27</f>
        <v>0</v>
      </c>
      <c r="R127" s="480">
        <f>'Operational CostPP'!AI27</f>
        <v>0</v>
      </c>
      <c r="S127" s="480">
        <f>'Operational CostPP'!AJ27</f>
        <v>0</v>
      </c>
      <c r="T127" s="473"/>
      <c r="U127" s="480">
        <f>'Operational CostPP'!AK27</f>
        <v>0</v>
      </c>
      <c r="V127" s="480">
        <f>'Operational CostPP'!AL27</f>
        <v>0</v>
      </c>
      <c r="W127" s="480">
        <f>'Operational CostPP'!AM27</f>
        <v>0</v>
      </c>
      <c r="X127" s="524"/>
    </row>
    <row r="128" spans="1:24" x14ac:dyDescent="0.4">
      <c r="A128" s="487"/>
      <c r="B128" s="498">
        <f>'Operational CostPP'!C28</f>
        <v>0</v>
      </c>
      <c r="C128" s="501">
        <f>'Operational CostPP'!D87</f>
        <v>0</v>
      </c>
      <c r="D128" s="495">
        <f>'Operational CostPP'!G87</f>
        <v>0</v>
      </c>
      <c r="E128" s="495">
        <f>'Operational CostPP'!H87</f>
        <v>0</v>
      </c>
      <c r="F128" s="68" t="str">
        <f>'Operational CostPP'!A28</f>
        <v>Revised</v>
      </c>
      <c r="G128" s="97">
        <f>'Operational CostPP'!F28</f>
        <v>0</v>
      </c>
      <c r="H128" s="97">
        <f>'Operational CostPP'!I28</f>
        <v>0</v>
      </c>
      <c r="I128" s="97">
        <f>'Operational CostPP'!J28</f>
        <v>0</v>
      </c>
      <c r="J128" s="458"/>
      <c r="K128" s="481">
        <f>'Operational CostPP'!Z87</f>
        <v>0</v>
      </c>
      <c r="L128" s="504">
        <f>'Operational CostPP'!AA87</f>
        <v>0</v>
      </c>
      <c r="M128" s="481">
        <f>'Operational CostPP'!AB87</f>
        <v>0</v>
      </c>
      <c r="N128" s="481">
        <f>'Operational CostPP'!AC87</f>
        <v>0</v>
      </c>
      <c r="O128" s="481">
        <f>'Operational CostPP'!AD87</f>
        <v>0</v>
      </c>
      <c r="P128" s="474"/>
      <c r="Q128" s="481">
        <f>'Operational CostPP'!AH87</f>
        <v>0</v>
      </c>
      <c r="R128" s="481">
        <f>'Operational CostPP'!AI87</f>
        <v>0</v>
      </c>
      <c r="S128" s="481">
        <f>'Operational CostPP'!AJ87</f>
        <v>0</v>
      </c>
      <c r="T128" s="474"/>
      <c r="U128" s="481">
        <f>'Operational CostPP'!AK87</f>
        <v>0</v>
      </c>
      <c r="V128" s="481">
        <f>'Operational CostPP'!AL87</f>
        <v>0</v>
      </c>
      <c r="W128" s="481">
        <f>'Operational CostPP'!AM87</f>
        <v>0</v>
      </c>
      <c r="X128" s="525"/>
    </row>
    <row r="129" spans="1:24" x14ac:dyDescent="0.4">
      <c r="A129" s="487"/>
      <c r="B129" s="499">
        <f>'Operational CostPP'!C29</f>
        <v>0</v>
      </c>
      <c r="C129" s="502">
        <f>'Operational CostPP'!D88</f>
        <v>0</v>
      </c>
      <c r="D129" s="496">
        <f>'Operational CostPP'!G88</f>
        <v>0</v>
      </c>
      <c r="E129" s="496">
        <f>'Operational CostPP'!H88</f>
        <v>0</v>
      </c>
      <c r="F129" s="69" t="str">
        <f>'Operational CostPP'!A29</f>
        <v>Actual</v>
      </c>
      <c r="G129" s="99">
        <f>'Operational CostPP'!F29</f>
        <v>0</v>
      </c>
      <c r="H129" s="99">
        <f>'Operational CostPP'!I29</f>
        <v>0</v>
      </c>
      <c r="I129" s="99">
        <f>'Operational CostPP'!J29</f>
        <v>0</v>
      </c>
      <c r="J129" s="459"/>
      <c r="K129" s="482">
        <f>'Operational CostPP'!Z88</f>
        <v>0</v>
      </c>
      <c r="L129" s="505">
        <f>'Operational CostPP'!AA88</f>
        <v>0</v>
      </c>
      <c r="M129" s="482">
        <f>'Operational CostPP'!AB88</f>
        <v>0</v>
      </c>
      <c r="N129" s="482">
        <f>'Operational CostPP'!AC88</f>
        <v>0</v>
      </c>
      <c r="O129" s="482">
        <f>'Operational CostPP'!AD88</f>
        <v>0</v>
      </c>
      <c r="P129" s="475"/>
      <c r="Q129" s="482">
        <f>'Operational CostPP'!AH88</f>
        <v>0</v>
      </c>
      <c r="R129" s="482">
        <f>'Operational CostPP'!AI88</f>
        <v>0</v>
      </c>
      <c r="S129" s="482">
        <f>'Operational CostPP'!AJ88</f>
        <v>0</v>
      </c>
      <c r="T129" s="475"/>
      <c r="U129" s="482">
        <f>'Operational CostPP'!AK88</f>
        <v>0</v>
      </c>
      <c r="V129" s="482">
        <f>'Operational CostPP'!AL88</f>
        <v>0</v>
      </c>
      <c r="W129" s="482">
        <f>'Operational CostPP'!AM88</f>
        <v>0</v>
      </c>
      <c r="X129" s="526"/>
    </row>
    <row r="130" spans="1:24" ht="12.75" customHeight="1" x14ac:dyDescent="0.4">
      <c r="A130" s="487"/>
      <c r="B130" s="497" t="str">
        <f>'Operational CostPP'!C30</f>
        <v>BWG3-2-14-1</v>
      </c>
      <c r="C130" s="500" t="str">
        <f>'Operational CostPP'!D30</f>
        <v>Maintenance for
office equipments</v>
      </c>
      <c r="D130" s="494">
        <f>'Operational CostPP'!G30</f>
        <v>0.66</v>
      </c>
      <c r="E130" s="494">
        <f>'Operational CostPP'!H30</f>
        <v>0.33999999999999997</v>
      </c>
      <c r="F130" s="65" t="str">
        <f>'Operational CostPP'!A30</f>
        <v>Planned</v>
      </c>
      <c r="G130" s="95">
        <f>'Operational CostPP'!F30</f>
        <v>0</v>
      </c>
      <c r="H130" s="95">
        <f>'Operational CostPP'!I30</f>
        <v>0</v>
      </c>
      <c r="I130" s="95">
        <f>'Operational CostPP'!J30</f>
        <v>0</v>
      </c>
      <c r="J130" s="457"/>
      <c r="K130" s="480"/>
      <c r="L130" s="503"/>
      <c r="M130" s="480"/>
      <c r="N130" s="480"/>
      <c r="O130" s="480"/>
      <c r="P130" s="473"/>
      <c r="Q130" s="480"/>
      <c r="R130" s="480"/>
      <c r="S130" s="480"/>
      <c r="T130" s="473"/>
      <c r="U130" s="480"/>
      <c r="V130" s="480"/>
      <c r="W130" s="480"/>
      <c r="X130" s="524"/>
    </row>
    <row r="131" spans="1:24" x14ac:dyDescent="0.4">
      <c r="A131" s="487"/>
      <c r="B131" s="498">
        <f>'Operational CostPP'!C31</f>
        <v>0</v>
      </c>
      <c r="C131" s="501">
        <f>'Operational CostPP'!D90</f>
        <v>0</v>
      </c>
      <c r="D131" s="495">
        <f>'Operational CostPP'!G90</f>
        <v>0</v>
      </c>
      <c r="E131" s="495">
        <f>'Operational CostPP'!H90</f>
        <v>0</v>
      </c>
      <c r="F131" s="68" t="str">
        <f>'Operational CostPP'!A31</f>
        <v>Revised</v>
      </c>
      <c r="G131" s="97">
        <f>'Operational CostPP'!F31</f>
        <v>0</v>
      </c>
      <c r="H131" s="97">
        <f>'Operational CostPP'!I31</f>
        <v>0</v>
      </c>
      <c r="I131" s="97">
        <f>'Operational CostPP'!J31</f>
        <v>0</v>
      </c>
      <c r="J131" s="458"/>
      <c r="K131" s="481"/>
      <c r="L131" s="504"/>
      <c r="M131" s="481"/>
      <c r="N131" s="481"/>
      <c r="O131" s="481"/>
      <c r="P131" s="474"/>
      <c r="Q131" s="481"/>
      <c r="R131" s="481"/>
      <c r="S131" s="481"/>
      <c r="T131" s="474"/>
      <c r="U131" s="481"/>
      <c r="V131" s="481"/>
      <c r="W131" s="481"/>
      <c r="X131" s="525"/>
    </row>
    <row r="132" spans="1:24" x14ac:dyDescent="0.4">
      <c r="A132" s="487"/>
      <c r="B132" s="499">
        <f>'Operational CostPP'!C32</f>
        <v>0</v>
      </c>
      <c r="C132" s="502">
        <f>'Operational CostPP'!D91</f>
        <v>0</v>
      </c>
      <c r="D132" s="496">
        <f>'Operational CostPP'!G91</f>
        <v>0</v>
      </c>
      <c r="E132" s="496">
        <f>'Operational CostPP'!H91</f>
        <v>0</v>
      </c>
      <c r="F132" s="69" t="str">
        <f>'Operational CostPP'!A32</f>
        <v>Actual</v>
      </c>
      <c r="G132" s="99">
        <f>'Operational CostPP'!F32</f>
        <v>0</v>
      </c>
      <c r="H132" s="99">
        <f>'Operational CostPP'!I32</f>
        <v>0</v>
      </c>
      <c r="I132" s="99">
        <f>'Operational CostPP'!J32</f>
        <v>0</v>
      </c>
      <c r="J132" s="459"/>
      <c r="K132" s="482"/>
      <c r="L132" s="505"/>
      <c r="M132" s="482"/>
      <c r="N132" s="482"/>
      <c r="O132" s="482"/>
      <c r="P132" s="475"/>
      <c r="Q132" s="482"/>
      <c r="R132" s="482"/>
      <c r="S132" s="482"/>
      <c r="T132" s="475"/>
      <c r="U132" s="482"/>
      <c r="V132" s="482"/>
      <c r="W132" s="482"/>
      <c r="X132" s="526"/>
    </row>
    <row r="133" spans="1:24" ht="12.75" customHeight="1" x14ac:dyDescent="0.4">
      <c r="A133" s="487"/>
      <c r="B133" s="497" t="str">
        <f>'Operational CostPP'!C33</f>
        <v>BWG3-2-15</v>
      </c>
      <c r="C133" s="500" t="str">
        <f>'Operational CostPP'!D33</f>
        <v>Domain Server Fees</v>
      </c>
      <c r="D133" s="494">
        <f>'Operational CostPP'!G33</f>
        <v>0.66</v>
      </c>
      <c r="E133" s="494">
        <f>'Operational CostPP'!H33</f>
        <v>0.33999999999999997</v>
      </c>
      <c r="F133" s="65" t="str">
        <f>'Operational CostPP'!A33</f>
        <v>Planned</v>
      </c>
      <c r="G133" s="95">
        <f>'Operational CostPP'!F33</f>
        <v>0</v>
      </c>
      <c r="H133" s="95">
        <f>'Operational CostPP'!I33</f>
        <v>0</v>
      </c>
      <c r="I133" s="95">
        <f>'Operational CostPP'!J33</f>
        <v>0</v>
      </c>
      <c r="J133" s="457"/>
      <c r="K133" s="480"/>
      <c r="L133" s="503"/>
      <c r="M133" s="480"/>
      <c r="N133" s="480"/>
      <c r="O133" s="480"/>
      <c r="P133" s="473"/>
      <c r="Q133" s="480"/>
      <c r="R133" s="480"/>
      <c r="S133" s="480"/>
      <c r="T133" s="473"/>
      <c r="U133" s="480"/>
      <c r="V133" s="480"/>
      <c r="W133" s="480"/>
      <c r="X133" s="524"/>
    </row>
    <row r="134" spans="1:24" x14ac:dyDescent="0.4">
      <c r="A134" s="487"/>
      <c r="B134" s="498">
        <f>'Operational CostPP'!C34</f>
        <v>0</v>
      </c>
      <c r="C134" s="501">
        <f>'Operational CostPP'!D93</f>
        <v>0</v>
      </c>
      <c r="D134" s="495">
        <f>'Operational CostPP'!G93</f>
        <v>0</v>
      </c>
      <c r="E134" s="495">
        <f>'Operational CostPP'!H93</f>
        <v>0</v>
      </c>
      <c r="F134" s="68" t="str">
        <f>'Operational CostPP'!A34</f>
        <v>Revised</v>
      </c>
      <c r="G134" s="97">
        <f>'Operational CostPP'!F34</f>
        <v>0</v>
      </c>
      <c r="H134" s="97">
        <f>'Operational CostPP'!I34</f>
        <v>0</v>
      </c>
      <c r="I134" s="97">
        <f>'Operational CostPP'!J34</f>
        <v>0</v>
      </c>
      <c r="J134" s="458"/>
      <c r="K134" s="481"/>
      <c r="L134" s="504"/>
      <c r="M134" s="481"/>
      <c r="N134" s="481"/>
      <c r="O134" s="481"/>
      <c r="P134" s="474"/>
      <c r="Q134" s="481"/>
      <c r="R134" s="481"/>
      <c r="S134" s="481"/>
      <c r="T134" s="474"/>
      <c r="U134" s="481"/>
      <c r="V134" s="481"/>
      <c r="W134" s="481"/>
      <c r="X134" s="525"/>
    </row>
    <row r="135" spans="1:24" x14ac:dyDescent="0.4">
      <c r="A135" s="487"/>
      <c r="B135" s="499">
        <f>'Operational CostPP'!C35</f>
        <v>0</v>
      </c>
      <c r="C135" s="502">
        <f>'Operational CostPP'!D94</f>
        <v>0</v>
      </c>
      <c r="D135" s="496">
        <f>'Operational CostPP'!G94</f>
        <v>0</v>
      </c>
      <c r="E135" s="496">
        <f>'Operational CostPP'!H94</f>
        <v>0</v>
      </c>
      <c r="F135" s="69" t="str">
        <f>'Operational CostPP'!A35</f>
        <v>Actual</v>
      </c>
      <c r="G135" s="99">
        <f>'Operational CostPP'!F35</f>
        <v>0</v>
      </c>
      <c r="H135" s="99">
        <f>'Operational CostPP'!I35</f>
        <v>0</v>
      </c>
      <c r="I135" s="99">
        <f>'Operational CostPP'!J35</f>
        <v>0</v>
      </c>
      <c r="J135" s="459"/>
      <c r="K135" s="482"/>
      <c r="L135" s="505"/>
      <c r="M135" s="482"/>
      <c r="N135" s="482"/>
      <c r="O135" s="482"/>
      <c r="P135" s="475"/>
      <c r="Q135" s="482"/>
      <c r="R135" s="482"/>
      <c r="S135" s="482"/>
      <c r="T135" s="475"/>
      <c r="U135" s="482"/>
      <c r="V135" s="482"/>
      <c r="W135" s="482"/>
      <c r="X135" s="526"/>
    </row>
    <row r="136" spans="1:24" ht="12.75" customHeight="1" x14ac:dyDescent="0.4">
      <c r="A136" s="487"/>
      <c r="B136" s="497" t="str">
        <f>'Operational CostPP'!C36</f>
        <v>BWG3-2-16</v>
      </c>
      <c r="C136" s="500" t="str">
        <f>'Operational CostPP'!D36</f>
        <v>Stationary Shopping (2016)</v>
      </c>
      <c r="D136" s="494">
        <f>'Operational CostPP'!G36</f>
        <v>0.66</v>
      </c>
      <c r="E136" s="494">
        <f>'Operational CostPP'!H36</f>
        <v>0.33999999999999997</v>
      </c>
      <c r="F136" s="65" t="str">
        <f>'Operational CostPP'!A36</f>
        <v>Planned</v>
      </c>
      <c r="G136" s="95">
        <f>'Operational CostPP'!F36</f>
        <v>0</v>
      </c>
      <c r="H136" s="95">
        <f>'Operational CostPP'!I36</f>
        <v>0</v>
      </c>
      <c r="I136" s="95">
        <f>'Operational CostPP'!J36</f>
        <v>0</v>
      </c>
      <c r="J136" s="457"/>
      <c r="K136" s="480">
        <f>'Operational CostPP'!Z36</f>
        <v>0</v>
      </c>
      <c r="L136" s="503">
        <f>'Operational CostPP'!AA36</f>
        <v>0</v>
      </c>
      <c r="M136" s="480">
        <f>'Operational CostPP'!AB36</f>
        <v>0</v>
      </c>
      <c r="N136" s="480">
        <f>'Operational CostPP'!AC36</f>
        <v>0</v>
      </c>
      <c r="O136" s="480">
        <f>'Operational CostPP'!AD36</f>
        <v>0</v>
      </c>
      <c r="P136" s="473"/>
      <c r="Q136" s="480">
        <f>'Operational CostPP'!AH36</f>
        <v>0</v>
      </c>
      <c r="R136" s="480">
        <f>'Operational CostPP'!AI36</f>
        <v>0</v>
      </c>
      <c r="S136" s="480">
        <f>'Operational CostPP'!AJ36</f>
        <v>0</v>
      </c>
      <c r="T136" s="473"/>
      <c r="U136" s="480">
        <f>'Operational CostPP'!AK36</f>
        <v>0</v>
      </c>
      <c r="V136" s="480">
        <f>'Operational CostPP'!AL36</f>
        <v>0</v>
      </c>
      <c r="W136" s="480">
        <f>'Operational CostPP'!AM36</f>
        <v>0</v>
      </c>
      <c r="X136" s="524"/>
    </row>
    <row r="137" spans="1:24" x14ac:dyDescent="0.4">
      <c r="A137" s="487"/>
      <c r="B137" s="498">
        <f>'Operational CostPP'!C37</f>
        <v>0</v>
      </c>
      <c r="C137" s="501">
        <f>'Operational CostPP'!D96</f>
        <v>0</v>
      </c>
      <c r="D137" s="495">
        <f>'Operational CostPP'!G96</f>
        <v>0</v>
      </c>
      <c r="E137" s="495">
        <f>'Operational CostPP'!H96</f>
        <v>0</v>
      </c>
      <c r="F137" s="68" t="str">
        <f>'Operational CostPP'!A37</f>
        <v>Revised</v>
      </c>
      <c r="G137" s="97">
        <f>'Operational CostPP'!F37</f>
        <v>0</v>
      </c>
      <c r="H137" s="97">
        <f>'Operational CostPP'!I37</f>
        <v>0</v>
      </c>
      <c r="I137" s="97">
        <f>'Operational CostPP'!J37</f>
        <v>0</v>
      </c>
      <c r="J137" s="458"/>
      <c r="K137" s="481">
        <f>'Operational CostPP'!Z96</f>
        <v>0</v>
      </c>
      <c r="L137" s="504">
        <f>'Operational CostPP'!AA96</f>
        <v>0</v>
      </c>
      <c r="M137" s="481">
        <f>'Operational CostPP'!AB96</f>
        <v>0</v>
      </c>
      <c r="N137" s="481">
        <f>'Operational CostPP'!AC96</f>
        <v>0</v>
      </c>
      <c r="O137" s="481">
        <f>'Operational CostPP'!AD96</f>
        <v>0</v>
      </c>
      <c r="P137" s="474"/>
      <c r="Q137" s="481">
        <f>'Operational CostPP'!AH96</f>
        <v>0</v>
      </c>
      <c r="R137" s="481">
        <f>'Operational CostPP'!AI96</f>
        <v>0</v>
      </c>
      <c r="S137" s="481">
        <f>'Operational CostPP'!AJ96</f>
        <v>0</v>
      </c>
      <c r="T137" s="474"/>
      <c r="U137" s="481">
        <f>'Operational CostPP'!AK96</f>
        <v>0</v>
      </c>
      <c r="V137" s="481">
        <f>'Operational CostPP'!AL96</f>
        <v>0</v>
      </c>
      <c r="W137" s="481">
        <f>'Operational CostPP'!AM96</f>
        <v>0</v>
      </c>
      <c r="X137" s="525"/>
    </row>
    <row r="138" spans="1:24" x14ac:dyDescent="0.4">
      <c r="A138" s="487"/>
      <c r="B138" s="499">
        <f>'Operational CostPP'!C38</f>
        <v>0</v>
      </c>
      <c r="C138" s="502">
        <f>'Operational CostPP'!D97</f>
        <v>0</v>
      </c>
      <c r="D138" s="496">
        <f>'Operational CostPP'!G97</f>
        <v>0</v>
      </c>
      <c r="E138" s="496">
        <f>'Operational CostPP'!H97</f>
        <v>0</v>
      </c>
      <c r="F138" s="69" t="str">
        <f>'Operational CostPP'!A38</f>
        <v>Actual</v>
      </c>
      <c r="G138" s="99">
        <f>'Operational CostPP'!F38</f>
        <v>0</v>
      </c>
      <c r="H138" s="99">
        <f>'Operational CostPP'!I38</f>
        <v>0</v>
      </c>
      <c r="I138" s="99">
        <f>'Operational CostPP'!J38</f>
        <v>0</v>
      </c>
      <c r="J138" s="459"/>
      <c r="K138" s="482">
        <f>'Operational CostPP'!Z97</f>
        <v>0</v>
      </c>
      <c r="L138" s="505">
        <f>'Operational CostPP'!AA97</f>
        <v>0</v>
      </c>
      <c r="M138" s="482">
        <f>'Operational CostPP'!AB97</f>
        <v>0</v>
      </c>
      <c r="N138" s="482">
        <f>'Operational CostPP'!AC97</f>
        <v>0</v>
      </c>
      <c r="O138" s="482">
        <f>'Operational CostPP'!AD97</f>
        <v>0</v>
      </c>
      <c r="P138" s="475"/>
      <c r="Q138" s="482">
        <f>'Operational CostPP'!AH97</f>
        <v>0</v>
      </c>
      <c r="R138" s="482">
        <f>'Operational CostPP'!AI97</f>
        <v>0</v>
      </c>
      <c r="S138" s="482">
        <f>'Operational CostPP'!AJ97</f>
        <v>0</v>
      </c>
      <c r="T138" s="475"/>
      <c r="U138" s="482">
        <f>'Operational CostPP'!AK97</f>
        <v>0</v>
      </c>
      <c r="V138" s="482">
        <f>'Operational CostPP'!AL97</f>
        <v>0</v>
      </c>
      <c r="W138" s="482">
        <f>'Operational CostPP'!AM97</f>
        <v>0</v>
      </c>
      <c r="X138" s="526"/>
    </row>
    <row r="139" spans="1:24" ht="12.75" customHeight="1" x14ac:dyDescent="0.4">
      <c r="A139" s="487"/>
      <c r="B139" s="497" t="str">
        <f>'Operational CostPP'!C39</f>
        <v>BWG3-2-17</v>
      </c>
      <c r="C139" s="500" t="str">
        <f>'Operational CostPP'!D39</f>
        <v>Fuel oil for 2 vehicules (2016)</v>
      </c>
      <c r="D139" s="494">
        <f>'Operational CostPP'!G39</f>
        <v>0.66</v>
      </c>
      <c r="E139" s="494">
        <f>'Operational CostPP'!H39</f>
        <v>0.33999999999999997</v>
      </c>
      <c r="F139" s="65" t="str">
        <f>'Operational CostPP'!A39</f>
        <v>Planned</v>
      </c>
      <c r="G139" s="95">
        <f>'Operational CostPP'!F39</f>
        <v>0</v>
      </c>
      <c r="H139" s="95">
        <f>'Operational CostPP'!I39</f>
        <v>0</v>
      </c>
      <c r="I139" s="95">
        <f>'Operational CostPP'!J39</f>
        <v>0</v>
      </c>
      <c r="J139" s="457"/>
      <c r="K139" s="480">
        <f>'Operational CostPP'!Z39</f>
        <v>0</v>
      </c>
      <c r="L139" s="503">
        <f>'Operational CostPP'!AA39</f>
        <v>0</v>
      </c>
      <c r="M139" s="480">
        <f>'Operational CostPP'!AB39</f>
        <v>0</v>
      </c>
      <c r="N139" s="480">
        <f>'Operational CostPP'!AC39</f>
        <v>0</v>
      </c>
      <c r="O139" s="480">
        <f>'Operational CostPP'!AD39</f>
        <v>0</v>
      </c>
      <c r="P139" s="473"/>
      <c r="Q139" s="480">
        <f>'Operational CostPP'!AH39</f>
        <v>0</v>
      </c>
      <c r="R139" s="480">
        <f>'Operational CostPP'!AI39</f>
        <v>0</v>
      </c>
      <c r="S139" s="480">
        <f>'Operational CostPP'!AJ39</f>
        <v>0</v>
      </c>
      <c r="T139" s="473"/>
      <c r="U139" s="480">
        <f>'Operational CostPP'!AK39</f>
        <v>0</v>
      </c>
      <c r="V139" s="480">
        <f>'Operational CostPP'!AL39</f>
        <v>0</v>
      </c>
      <c r="W139" s="480">
        <f>'Operational CostPP'!AM39</f>
        <v>0</v>
      </c>
      <c r="X139" s="524"/>
    </row>
    <row r="140" spans="1:24" x14ac:dyDescent="0.4">
      <c r="A140" s="487"/>
      <c r="B140" s="498">
        <f>'Operational CostPP'!C40</f>
        <v>0</v>
      </c>
      <c r="C140" s="501">
        <f>'Operational CostPP'!D99</f>
        <v>0</v>
      </c>
      <c r="D140" s="495">
        <f>'Operational CostPP'!G99</f>
        <v>0</v>
      </c>
      <c r="E140" s="495">
        <f>'Operational CostPP'!H99</f>
        <v>0</v>
      </c>
      <c r="F140" s="68" t="str">
        <f>'Operational CostPP'!A40</f>
        <v>Revised</v>
      </c>
      <c r="G140" s="97">
        <f>'Operational CostPP'!F40</f>
        <v>0</v>
      </c>
      <c r="H140" s="97">
        <f>'Operational CostPP'!I40</f>
        <v>0</v>
      </c>
      <c r="I140" s="97">
        <f>'Operational CostPP'!J40</f>
        <v>0</v>
      </c>
      <c r="J140" s="458"/>
      <c r="K140" s="481">
        <f>'Operational CostPP'!Z99</f>
        <v>0</v>
      </c>
      <c r="L140" s="504">
        <f>'Operational CostPP'!AA99</f>
        <v>0</v>
      </c>
      <c r="M140" s="481">
        <f>'Operational CostPP'!AB99</f>
        <v>0</v>
      </c>
      <c r="N140" s="481">
        <f>'Operational CostPP'!AC99</f>
        <v>0</v>
      </c>
      <c r="O140" s="481">
        <f>'Operational CostPP'!AD99</f>
        <v>0</v>
      </c>
      <c r="P140" s="474"/>
      <c r="Q140" s="481">
        <f>'Operational CostPP'!AH99</f>
        <v>0</v>
      </c>
      <c r="R140" s="481">
        <f>'Operational CostPP'!AI99</f>
        <v>0</v>
      </c>
      <c r="S140" s="481">
        <f>'Operational CostPP'!AJ99</f>
        <v>0</v>
      </c>
      <c r="T140" s="474"/>
      <c r="U140" s="481">
        <f>'Operational CostPP'!AK99</f>
        <v>0</v>
      </c>
      <c r="V140" s="481">
        <f>'Operational CostPP'!AL99</f>
        <v>0</v>
      </c>
      <c r="W140" s="481">
        <f>'Operational CostPP'!AM99</f>
        <v>0</v>
      </c>
      <c r="X140" s="525"/>
    </row>
    <row r="141" spans="1:24" x14ac:dyDescent="0.4">
      <c r="A141" s="487"/>
      <c r="B141" s="499">
        <f>'Operational CostPP'!C41</f>
        <v>0</v>
      </c>
      <c r="C141" s="502">
        <f>'Operational CostPP'!D100</f>
        <v>0</v>
      </c>
      <c r="D141" s="496">
        <f>'Operational CostPP'!G100</f>
        <v>0</v>
      </c>
      <c r="E141" s="496">
        <f>'Operational CostPP'!H100</f>
        <v>0</v>
      </c>
      <c r="F141" s="69" t="str">
        <f>'Operational CostPP'!A41</f>
        <v>Actual</v>
      </c>
      <c r="G141" s="99">
        <f>'Operational CostPP'!F41</f>
        <v>0</v>
      </c>
      <c r="H141" s="99">
        <f>'Operational CostPP'!I41</f>
        <v>0</v>
      </c>
      <c r="I141" s="99">
        <f>'Operational CostPP'!J41</f>
        <v>0</v>
      </c>
      <c r="J141" s="459"/>
      <c r="K141" s="482">
        <f>'Operational CostPP'!Z100</f>
        <v>0</v>
      </c>
      <c r="L141" s="505">
        <f>'Operational CostPP'!AA100</f>
        <v>0</v>
      </c>
      <c r="M141" s="482">
        <f>'Operational CostPP'!AB100</f>
        <v>0</v>
      </c>
      <c r="N141" s="482">
        <f>'Operational CostPP'!AC100</f>
        <v>0</v>
      </c>
      <c r="O141" s="482">
        <f>'Operational CostPP'!AD100</f>
        <v>0</v>
      </c>
      <c r="P141" s="475"/>
      <c r="Q141" s="482">
        <f>'Operational CostPP'!AH100</f>
        <v>0</v>
      </c>
      <c r="R141" s="482">
        <f>'Operational CostPP'!AI100</f>
        <v>0</v>
      </c>
      <c r="S141" s="482">
        <f>'Operational CostPP'!AJ100</f>
        <v>0</v>
      </c>
      <c r="T141" s="475"/>
      <c r="U141" s="482">
        <f>'Operational CostPP'!AK100</f>
        <v>0</v>
      </c>
      <c r="V141" s="482">
        <f>'Operational CostPP'!AL100</f>
        <v>0</v>
      </c>
      <c r="W141" s="482">
        <f>'Operational CostPP'!AM100</f>
        <v>0</v>
      </c>
      <c r="X141" s="526"/>
    </row>
    <row r="142" spans="1:24" ht="12.75" customHeight="1" x14ac:dyDescent="0.4">
      <c r="A142" s="487"/>
      <c r="B142" s="497" t="str">
        <f>'Operational CostPP'!C42</f>
        <v>BWG3-2-18</v>
      </c>
      <c r="C142" s="500" t="str">
        <f>'Operational CostPP'!D42</f>
        <v xml:space="preserve">Consumables Shopping </v>
      </c>
      <c r="D142" s="494">
        <f>'Operational CostPP'!G42</f>
        <v>0.66</v>
      </c>
      <c r="E142" s="494">
        <f>'Operational CostPP'!H42</f>
        <v>0.33999999999999997</v>
      </c>
      <c r="F142" s="65" t="str">
        <f>'Operational CostPP'!A42</f>
        <v>Planned</v>
      </c>
      <c r="G142" s="95">
        <f>'Operational CostPP'!F42</f>
        <v>0</v>
      </c>
      <c r="H142" s="95">
        <f>'Operational CostPP'!I42</f>
        <v>0</v>
      </c>
      <c r="I142" s="95">
        <f>'Operational CostPP'!J42</f>
        <v>0</v>
      </c>
      <c r="J142" s="457"/>
      <c r="K142" s="480">
        <f>'Operational CostPP'!Z42</f>
        <v>0</v>
      </c>
      <c r="L142" s="503">
        <f>'Operational CostPP'!AA42</f>
        <v>0</v>
      </c>
      <c r="M142" s="480">
        <f>'Operational CostPP'!AB42</f>
        <v>0</v>
      </c>
      <c r="N142" s="480">
        <f>'Operational CostPP'!AC42</f>
        <v>0</v>
      </c>
      <c r="O142" s="480">
        <f>'Operational CostPP'!AD42</f>
        <v>0</v>
      </c>
      <c r="P142" s="473"/>
      <c r="Q142" s="480">
        <f>'Operational CostPP'!AH42</f>
        <v>0</v>
      </c>
      <c r="R142" s="480">
        <f>'Operational CostPP'!AI42</f>
        <v>0</v>
      </c>
      <c r="S142" s="480">
        <f>'Operational CostPP'!AJ42</f>
        <v>0</v>
      </c>
      <c r="T142" s="473"/>
      <c r="U142" s="480">
        <f>'Operational CostPP'!AK42</f>
        <v>0</v>
      </c>
      <c r="V142" s="480">
        <f>'Operational CostPP'!AL42</f>
        <v>0</v>
      </c>
      <c r="W142" s="480">
        <f>'Operational CostPP'!AM42</f>
        <v>0</v>
      </c>
      <c r="X142" s="524"/>
    </row>
    <row r="143" spans="1:24" x14ac:dyDescent="0.4">
      <c r="A143" s="487"/>
      <c r="B143" s="498">
        <f>'Operational CostPP'!C43</f>
        <v>0</v>
      </c>
      <c r="C143" s="501">
        <f>'Operational CostPP'!D102</f>
        <v>0</v>
      </c>
      <c r="D143" s="495">
        <f>'Operational CostPP'!G102</f>
        <v>0</v>
      </c>
      <c r="E143" s="495">
        <f>'Operational CostPP'!H102</f>
        <v>0</v>
      </c>
      <c r="F143" s="68" t="str">
        <f>'Operational CostPP'!A43</f>
        <v>Revised</v>
      </c>
      <c r="G143" s="97">
        <f>'Operational CostPP'!F43</f>
        <v>0</v>
      </c>
      <c r="H143" s="97">
        <f>'Operational CostPP'!I43</f>
        <v>0</v>
      </c>
      <c r="I143" s="97">
        <f>'Operational CostPP'!J43</f>
        <v>0</v>
      </c>
      <c r="J143" s="458"/>
      <c r="K143" s="481">
        <f>'Operational CostPP'!Z102</f>
        <v>0</v>
      </c>
      <c r="L143" s="504">
        <f>'Operational CostPP'!AA102</f>
        <v>0</v>
      </c>
      <c r="M143" s="481">
        <f>'Operational CostPP'!AB102</f>
        <v>0</v>
      </c>
      <c r="N143" s="481">
        <f>'Operational CostPP'!AC102</f>
        <v>0</v>
      </c>
      <c r="O143" s="481">
        <f>'Operational CostPP'!AD102</f>
        <v>0</v>
      </c>
      <c r="P143" s="474"/>
      <c r="Q143" s="481">
        <f>'Operational CostPP'!AH102</f>
        <v>0</v>
      </c>
      <c r="R143" s="481">
        <f>'Operational CostPP'!AI102</f>
        <v>0</v>
      </c>
      <c r="S143" s="481">
        <f>'Operational CostPP'!AJ102</f>
        <v>0</v>
      </c>
      <c r="T143" s="474"/>
      <c r="U143" s="481">
        <f>'Operational CostPP'!AK102</f>
        <v>0</v>
      </c>
      <c r="V143" s="481">
        <f>'Operational CostPP'!AL102</f>
        <v>0</v>
      </c>
      <c r="W143" s="481">
        <f>'Operational CostPP'!AM102</f>
        <v>0</v>
      </c>
      <c r="X143" s="525"/>
    </row>
    <row r="144" spans="1:24" x14ac:dyDescent="0.4">
      <c r="A144" s="487"/>
      <c r="B144" s="499">
        <f>'Operational CostPP'!C44</f>
        <v>0</v>
      </c>
      <c r="C144" s="502">
        <f>'Operational CostPP'!D103</f>
        <v>0</v>
      </c>
      <c r="D144" s="496">
        <f>'Operational CostPP'!G103</f>
        <v>0</v>
      </c>
      <c r="E144" s="496">
        <f>'Operational CostPP'!H103</f>
        <v>0</v>
      </c>
      <c r="F144" s="69" t="str">
        <f>'Operational CostPP'!A44</f>
        <v>Actual</v>
      </c>
      <c r="G144" s="99">
        <f>'Operational CostPP'!F44</f>
        <v>0</v>
      </c>
      <c r="H144" s="99">
        <f>'Operational CostPP'!I44</f>
        <v>0</v>
      </c>
      <c r="I144" s="99">
        <f>'Operational CostPP'!J44</f>
        <v>0</v>
      </c>
      <c r="J144" s="459"/>
      <c r="K144" s="482">
        <f>'Operational CostPP'!Z103</f>
        <v>0</v>
      </c>
      <c r="L144" s="505">
        <f>'Operational CostPP'!AA103</f>
        <v>0</v>
      </c>
      <c r="M144" s="482">
        <f>'Operational CostPP'!AB103</f>
        <v>0</v>
      </c>
      <c r="N144" s="482">
        <f>'Operational CostPP'!AC103</f>
        <v>0</v>
      </c>
      <c r="O144" s="482">
        <f>'Operational CostPP'!AD103</f>
        <v>0</v>
      </c>
      <c r="P144" s="475"/>
      <c r="Q144" s="482">
        <f>'Operational CostPP'!AH103</f>
        <v>0</v>
      </c>
      <c r="R144" s="482">
        <f>'Operational CostPP'!AI103</f>
        <v>0</v>
      </c>
      <c r="S144" s="482">
        <f>'Operational CostPP'!AJ103</f>
        <v>0</v>
      </c>
      <c r="T144" s="475"/>
      <c r="U144" s="482">
        <f>'Operational CostPP'!AK103</f>
        <v>0</v>
      </c>
      <c r="V144" s="482">
        <f>'Operational CostPP'!AL103</f>
        <v>0</v>
      </c>
      <c r="W144" s="482">
        <f>'Operational CostPP'!AM103</f>
        <v>0</v>
      </c>
      <c r="X144" s="526"/>
    </row>
    <row r="145" spans="1:24" ht="12.75" customHeight="1" x14ac:dyDescent="0.4">
      <c r="A145" s="487"/>
      <c r="B145" s="497" t="str">
        <f>'Operational CostPP'!C45</f>
        <v>BWG3-2-19</v>
      </c>
      <c r="C145" s="500" t="str">
        <f>'Operational CostPP'!D45</f>
        <v>Maintenance for
office equipments (2016)</v>
      </c>
      <c r="D145" s="494">
        <f>'Operational CostPP'!G45</f>
        <v>0.66</v>
      </c>
      <c r="E145" s="494">
        <f>'Operational CostPP'!H45</f>
        <v>0.33999999999999997</v>
      </c>
      <c r="F145" s="65" t="str">
        <f>'Operational CostPP'!A45</f>
        <v>Planned</v>
      </c>
      <c r="G145" s="95">
        <f>'Operational CostPP'!F45</f>
        <v>0</v>
      </c>
      <c r="H145" s="95">
        <f>'Operational CostPP'!I45</f>
        <v>0</v>
      </c>
      <c r="I145" s="95">
        <f>'Operational CostPP'!J45</f>
        <v>0</v>
      </c>
      <c r="J145" s="457"/>
      <c r="K145" s="480">
        <f>'Operational CostPP'!Z45</f>
        <v>0</v>
      </c>
      <c r="L145" s="503">
        <f>'Operational CostPP'!AA45</f>
        <v>0</v>
      </c>
      <c r="M145" s="480">
        <f>'Operational CostPP'!AB45</f>
        <v>0</v>
      </c>
      <c r="N145" s="480">
        <f>'Operational CostPP'!AC45</f>
        <v>0</v>
      </c>
      <c r="O145" s="480">
        <f>'Operational CostPP'!AD45</f>
        <v>0</v>
      </c>
      <c r="P145" s="473"/>
      <c r="Q145" s="480">
        <f>'Operational CostPP'!AH45</f>
        <v>0</v>
      </c>
      <c r="R145" s="480">
        <f>'Operational CostPP'!AI45</f>
        <v>0</v>
      </c>
      <c r="S145" s="480">
        <f>'Operational CostPP'!AJ45</f>
        <v>0</v>
      </c>
      <c r="T145" s="473"/>
      <c r="U145" s="480">
        <f>'Operational CostPP'!AK45</f>
        <v>0</v>
      </c>
      <c r="V145" s="480">
        <f>'Operational CostPP'!AL45</f>
        <v>0</v>
      </c>
      <c r="W145" s="480">
        <f>'Operational CostPP'!AM45</f>
        <v>0</v>
      </c>
      <c r="X145" s="524"/>
    </row>
    <row r="146" spans="1:24" x14ac:dyDescent="0.4">
      <c r="A146" s="487"/>
      <c r="B146" s="498">
        <f>'Operational CostPP'!C46</f>
        <v>0</v>
      </c>
      <c r="C146" s="501">
        <f>'Operational CostPP'!D105</f>
        <v>0</v>
      </c>
      <c r="D146" s="495">
        <f>'Operational CostPP'!G105</f>
        <v>0</v>
      </c>
      <c r="E146" s="495">
        <f>'Operational CostPP'!H105</f>
        <v>0</v>
      </c>
      <c r="F146" s="68" t="str">
        <f>'Operational CostPP'!A46</f>
        <v>Revised</v>
      </c>
      <c r="G146" s="97">
        <f>'Operational CostPP'!F46</f>
        <v>0</v>
      </c>
      <c r="H146" s="97">
        <f>'Operational CostPP'!I46</f>
        <v>0</v>
      </c>
      <c r="I146" s="97">
        <f>'Operational CostPP'!J46</f>
        <v>0</v>
      </c>
      <c r="J146" s="458"/>
      <c r="K146" s="481">
        <f>'Operational CostPP'!Z105</f>
        <v>0</v>
      </c>
      <c r="L146" s="504">
        <f>'Operational CostPP'!AA105</f>
        <v>0</v>
      </c>
      <c r="M146" s="481">
        <f>'Operational CostPP'!AB105</f>
        <v>0</v>
      </c>
      <c r="N146" s="481">
        <f>'Operational CostPP'!AC105</f>
        <v>0</v>
      </c>
      <c r="O146" s="481">
        <f>'Operational CostPP'!AD105</f>
        <v>0</v>
      </c>
      <c r="P146" s="474"/>
      <c r="Q146" s="481">
        <f>'Operational CostPP'!AH105</f>
        <v>0</v>
      </c>
      <c r="R146" s="481">
        <f>'Operational CostPP'!AI105</f>
        <v>0</v>
      </c>
      <c r="S146" s="481">
        <f>'Operational CostPP'!AJ105</f>
        <v>0</v>
      </c>
      <c r="T146" s="474"/>
      <c r="U146" s="481">
        <f>'Operational CostPP'!AK105</f>
        <v>0</v>
      </c>
      <c r="V146" s="481">
        <f>'Operational CostPP'!AL105</f>
        <v>0</v>
      </c>
      <c r="W146" s="481">
        <f>'Operational CostPP'!AM105</f>
        <v>0</v>
      </c>
      <c r="X146" s="525"/>
    </row>
    <row r="147" spans="1:24" x14ac:dyDescent="0.4">
      <c r="A147" s="487"/>
      <c r="B147" s="499">
        <f>'Operational CostPP'!C47</f>
        <v>0</v>
      </c>
      <c r="C147" s="502">
        <f>'Operational CostPP'!D106</f>
        <v>0</v>
      </c>
      <c r="D147" s="496">
        <f>'Operational CostPP'!G106</f>
        <v>0</v>
      </c>
      <c r="E147" s="496">
        <f>'Operational CostPP'!H106</f>
        <v>0</v>
      </c>
      <c r="F147" s="69" t="str">
        <f>'Operational CostPP'!A47</f>
        <v>Actual</v>
      </c>
      <c r="G147" s="99">
        <f>'Operational CostPP'!F47</f>
        <v>0</v>
      </c>
      <c r="H147" s="99">
        <f>'Operational CostPP'!I47</f>
        <v>0</v>
      </c>
      <c r="I147" s="99">
        <f>'Operational CostPP'!J47</f>
        <v>0</v>
      </c>
      <c r="J147" s="459"/>
      <c r="K147" s="482">
        <f>'Operational CostPP'!Z106</f>
        <v>0</v>
      </c>
      <c r="L147" s="505">
        <f>'Operational CostPP'!AA106</f>
        <v>0</v>
      </c>
      <c r="M147" s="482">
        <f>'Operational CostPP'!AB106</f>
        <v>0</v>
      </c>
      <c r="N147" s="482">
        <f>'Operational CostPP'!AC106</f>
        <v>0</v>
      </c>
      <c r="O147" s="482">
        <f>'Operational CostPP'!AD106</f>
        <v>0</v>
      </c>
      <c r="P147" s="475"/>
      <c r="Q147" s="482">
        <f>'Operational CostPP'!AH106</f>
        <v>0</v>
      </c>
      <c r="R147" s="482">
        <f>'Operational CostPP'!AI106</f>
        <v>0</v>
      </c>
      <c r="S147" s="482">
        <f>'Operational CostPP'!AJ106</f>
        <v>0</v>
      </c>
      <c r="T147" s="475"/>
      <c r="U147" s="482">
        <f>'Operational CostPP'!AK106</f>
        <v>0</v>
      </c>
      <c r="V147" s="482">
        <f>'Operational CostPP'!AL106</f>
        <v>0</v>
      </c>
      <c r="W147" s="482">
        <f>'Operational CostPP'!AM106</f>
        <v>0</v>
      </c>
      <c r="X147" s="526"/>
    </row>
    <row r="148" spans="1:24" s="59" customFormat="1" ht="12.75" x14ac:dyDescent="0.35">
      <c r="A148" s="488"/>
      <c r="B148" s="483" t="s">
        <v>382</v>
      </c>
      <c r="C148" s="484"/>
      <c r="D148" s="484"/>
      <c r="E148" s="484"/>
      <c r="F148" s="484"/>
      <c r="G148" s="484"/>
      <c r="H148" s="484"/>
      <c r="I148" s="484"/>
      <c r="J148" s="484"/>
      <c r="K148" s="484"/>
      <c r="L148" s="485"/>
      <c r="M148" s="70">
        <f>SUM(M106:M147)</f>
        <v>0</v>
      </c>
      <c r="N148" s="70">
        <f>SUM(N106:N147)</f>
        <v>0</v>
      </c>
      <c r="O148" s="70">
        <f>SUM(O106:O147)</f>
        <v>0</v>
      </c>
      <c r="P148" s="70"/>
      <c r="Q148" s="70">
        <f>SUM(Q106:Q147)</f>
        <v>0</v>
      </c>
      <c r="R148" s="70">
        <f>SUM(R106:R147)</f>
        <v>0</v>
      </c>
      <c r="S148" s="70">
        <f>SUM(S106:S147)</f>
        <v>0</v>
      </c>
      <c r="T148" s="70"/>
      <c r="U148" s="70">
        <f>SUM(U106:U147)</f>
        <v>0</v>
      </c>
      <c r="V148" s="70">
        <f>SUM(V106:V147)</f>
        <v>0</v>
      </c>
      <c r="W148" s="70">
        <f>SUM(W106:W147)</f>
        <v>0</v>
      </c>
      <c r="X148" s="338">
        <f>SUM(X106:X147)</f>
        <v>0</v>
      </c>
    </row>
    <row r="149" spans="1:24" ht="6" customHeight="1" x14ac:dyDescent="0.4">
      <c r="A149" s="530"/>
      <c r="B149" s="531"/>
      <c r="C149" s="531"/>
      <c r="D149" s="531"/>
      <c r="E149" s="531"/>
      <c r="F149" s="531"/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  <c r="Q149" s="531"/>
      <c r="R149" s="531"/>
      <c r="S149" s="531"/>
      <c r="T149" s="531"/>
      <c r="U149" s="531"/>
      <c r="V149" s="531"/>
      <c r="W149" s="531"/>
      <c r="X149" s="532"/>
    </row>
    <row r="150" spans="1:24" x14ac:dyDescent="0.4">
      <c r="A150" s="486" t="s">
        <v>379</v>
      </c>
      <c r="B150" s="75" t="s">
        <v>374</v>
      </c>
      <c r="C150" s="90" t="s">
        <v>376</v>
      </c>
      <c r="D150" s="76">
        <v>0.66</v>
      </c>
      <c r="E150" s="76">
        <v>0.34</v>
      </c>
      <c r="F150" s="75"/>
      <c r="G150" s="102"/>
      <c r="H150" s="102"/>
      <c r="I150" s="102"/>
      <c r="J150" s="102"/>
      <c r="K150" s="77"/>
      <c r="L150" s="77"/>
      <c r="M150" s="77"/>
      <c r="N150" s="77">
        <f>M150*0.66</f>
        <v>0</v>
      </c>
      <c r="O150" s="77">
        <f>M150-N150</f>
        <v>0</v>
      </c>
      <c r="P150" s="77"/>
      <c r="Q150" s="77"/>
      <c r="R150" s="77"/>
      <c r="S150" s="77"/>
      <c r="T150" s="77"/>
      <c r="U150" s="77"/>
      <c r="V150" s="77"/>
      <c r="W150" s="77"/>
      <c r="X150" s="339">
        <f>PMUPP!AA120</f>
        <v>0</v>
      </c>
    </row>
    <row r="151" spans="1:24" x14ac:dyDescent="0.4">
      <c r="A151" s="487"/>
      <c r="B151" s="75" t="s">
        <v>655</v>
      </c>
      <c r="C151" s="90" t="s">
        <v>376</v>
      </c>
      <c r="D151" s="76">
        <v>1</v>
      </c>
      <c r="E151" s="76"/>
      <c r="F151" s="75"/>
      <c r="G151" s="102"/>
      <c r="H151" s="102"/>
      <c r="I151" s="102"/>
      <c r="J151" s="102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339"/>
    </row>
    <row r="152" spans="1:24" x14ac:dyDescent="0.4">
      <c r="A152" s="487"/>
      <c r="B152" s="75" t="s">
        <v>375</v>
      </c>
      <c r="C152" s="90" t="s">
        <v>377</v>
      </c>
      <c r="D152" s="76">
        <v>1</v>
      </c>
      <c r="E152" s="76"/>
      <c r="F152" s="75"/>
      <c r="G152" s="102"/>
      <c r="H152" s="102"/>
      <c r="I152" s="102"/>
      <c r="J152" s="102"/>
      <c r="K152" s="77"/>
      <c r="L152" s="77"/>
      <c r="M152" s="77"/>
      <c r="N152" s="77">
        <f>M152</f>
        <v>0</v>
      </c>
      <c r="O152" s="77"/>
      <c r="P152" s="77"/>
      <c r="Q152" s="77"/>
      <c r="R152" s="77"/>
      <c r="S152" s="77"/>
      <c r="T152" s="77"/>
      <c r="U152" s="77"/>
      <c r="V152" s="77"/>
      <c r="W152" s="77"/>
      <c r="X152" s="339">
        <f>PMUPP!AA139</f>
        <v>0</v>
      </c>
    </row>
    <row r="153" spans="1:24" s="59" customFormat="1" ht="12.75" x14ac:dyDescent="0.35">
      <c r="A153" s="488"/>
      <c r="B153" s="483" t="s">
        <v>383</v>
      </c>
      <c r="C153" s="484"/>
      <c r="D153" s="484"/>
      <c r="E153" s="484"/>
      <c r="F153" s="484"/>
      <c r="G153" s="484"/>
      <c r="H153" s="484"/>
      <c r="I153" s="484"/>
      <c r="J153" s="484"/>
      <c r="K153" s="484"/>
      <c r="L153" s="485"/>
      <c r="M153" s="70"/>
      <c r="N153" s="70">
        <f t="shared" ref="N153:O153" si="2">SUM(N150:N152)</f>
        <v>0</v>
      </c>
      <c r="O153" s="70">
        <f t="shared" si="2"/>
        <v>0</v>
      </c>
      <c r="P153" s="70"/>
      <c r="Q153" s="70"/>
      <c r="R153" s="70"/>
      <c r="S153" s="70"/>
      <c r="T153" s="70"/>
      <c r="U153" s="70"/>
      <c r="V153" s="70"/>
      <c r="W153" s="70"/>
      <c r="X153" s="338">
        <f>SUM(X150:X152)</f>
        <v>0</v>
      </c>
    </row>
    <row r="154" spans="1:24" ht="6" customHeight="1" x14ac:dyDescent="0.4">
      <c r="A154" s="530"/>
      <c r="B154" s="531"/>
      <c r="C154" s="531"/>
      <c r="D154" s="531"/>
      <c r="E154" s="531"/>
      <c r="F154" s="531"/>
      <c r="G154" s="531"/>
      <c r="H154" s="531"/>
      <c r="I154" s="531"/>
      <c r="J154" s="531"/>
      <c r="K154" s="531"/>
      <c r="L154" s="531"/>
      <c r="M154" s="531"/>
      <c r="N154" s="531"/>
      <c r="O154" s="531"/>
      <c r="P154" s="531"/>
      <c r="Q154" s="531"/>
      <c r="R154" s="531"/>
      <c r="S154" s="531"/>
      <c r="T154" s="531"/>
      <c r="U154" s="531"/>
      <c r="V154" s="531"/>
      <c r="W154" s="531"/>
      <c r="X154" s="532"/>
    </row>
    <row r="155" spans="1:24" ht="25.5" customHeight="1" x14ac:dyDescent="0.4">
      <c r="A155" s="489" t="s">
        <v>378</v>
      </c>
      <c r="B155" s="90" t="str">
        <f>'Capacity BuildingPP'!B4</f>
        <v>BWC3-2-1-1</v>
      </c>
      <c r="C155" s="90" t="str">
        <f>'Capacity BuildingPP'!C4</f>
        <v>Training for WB financed projects</v>
      </c>
      <c r="D155" s="76">
        <f>'Capacity BuildingPP'!E4</f>
        <v>0.66</v>
      </c>
      <c r="E155" s="76">
        <f>'Capacity BuildingPP'!F4</f>
        <v>0.33999999999999997</v>
      </c>
      <c r="F155" s="75"/>
      <c r="G155" s="102"/>
      <c r="H155" s="102"/>
      <c r="I155" s="102"/>
      <c r="J155" s="102"/>
      <c r="K155" s="77"/>
      <c r="L155" s="77"/>
      <c r="M155" s="77">
        <f>G155</f>
        <v>0</v>
      </c>
      <c r="N155" s="77">
        <f>M155*D155</f>
        <v>0</v>
      </c>
      <c r="O155" s="77">
        <f>M155-N155</f>
        <v>0</v>
      </c>
      <c r="P155" s="77"/>
      <c r="Q155" s="77">
        <f>'Capacity BuildingPP'!M4</f>
        <v>0</v>
      </c>
      <c r="R155" s="77">
        <f>'Capacity BuildingPP'!N4</f>
        <v>0</v>
      </c>
      <c r="S155" s="77">
        <f>'Capacity BuildingPP'!O4</f>
        <v>0</v>
      </c>
      <c r="T155" s="77"/>
      <c r="U155" s="77">
        <f>'Capacity BuildingPP'!P4</f>
        <v>0</v>
      </c>
      <c r="V155" s="77">
        <f>'Capacity BuildingPP'!Q4</f>
        <v>0</v>
      </c>
      <c r="W155" s="77">
        <f>'Capacity BuildingPP'!R4</f>
        <v>0</v>
      </c>
      <c r="X155" s="339"/>
    </row>
    <row r="156" spans="1:24" ht="25.5" customHeight="1" x14ac:dyDescent="0.4">
      <c r="A156" s="490"/>
      <c r="B156" s="90" t="str">
        <f>'Capacity BuildingPP'!B5</f>
        <v>BWC3-2-1-2</v>
      </c>
      <c r="C156" s="90" t="str">
        <f>'Capacity BuildingPP'!C5</f>
        <v>Training for WB financed projects</v>
      </c>
      <c r="D156" s="76">
        <f>'Capacity BuildingPP'!E5</f>
        <v>0.66</v>
      </c>
      <c r="E156" s="76">
        <f>'Capacity BuildingPP'!F5</f>
        <v>0.33999999999999997</v>
      </c>
      <c r="F156" s="75"/>
      <c r="G156" s="95">
        <f>'Capacity BuildingPP'!J5</f>
        <v>0</v>
      </c>
      <c r="H156" s="102"/>
      <c r="I156" s="102"/>
      <c r="J156" s="102"/>
      <c r="K156" s="77"/>
      <c r="L156" s="77"/>
      <c r="M156" s="77">
        <f>G156</f>
        <v>0</v>
      </c>
      <c r="N156" s="77">
        <f>M156*D156</f>
        <v>0</v>
      </c>
      <c r="O156" s="77">
        <f>M156-N156</f>
        <v>0</v>
      </c>
      <c r="P156" s="77"/>
      <c r="Q156" s="77">
        <f>'Capacity BuildingPP'!M5</f>
        <v>0</v>
      </c>
      <c r="R156" s="77">
        <f>'Capacity BuildingPP'!N5</f>
        <v>0</v>
      </c>
      <c r="S156" s="77">
        <f>'Capacity BuildingPP'!O5</f>
        <v>0</v>
      </c>
      <c r="T156" s="77"/>
      <c r="U156" s="77">
        <f>'Capacity BuildingPP'!P5</f>
        <v>0</v>
      </c>
      <c r="V156" s="77">
        <f>'Capacity BuildingPP'!Q5</f>
        <v>0</v>
      </c>
      <c r="W156" s="77">
        <f>'Capacity BuildingPP'!R5</f>
        <v>0</v>
      </c>
      <c r="X156" s="339"/>
    </row>
    <row r="157" spans="1:24" ht="25.5" customHeight="1" x14ac:dyDescent="0.4">
      <c r="A157" s="490"/>
      <c r="B157" s="90" t="str">
        <f>'Capacity BuildingPP'!B6</f>
        <v>BWC3-2-1-3</v>
      </c>
      <c r="C157" s="90" t="str">
        <f>'Capacity BuildingPP'!C6</f>
        <v>Training for WB financed projects</v>
      </c>
      <c r="D157" s="76">
        <f>'Capacity BuildingPP'!E6</f>
        <v>0.66</v>
      </c>
      <c r="E157" s="76">
        <f>'Capacity BuildingPP'!F6</f>
        <v>0.34</v>
      </c>
      <c r="F157" s="75"/>
      <c r="G157" s="95">
        <f>'Capacity BuildingPP'!J6</f>
        <v>0</v>
      </c>
      <c r="H157" s="102"/>
      <c r="I157" s="102"/>
      <c r="J157" s="102"/>
      <c r="K157" s="77"/>
      <c r="L157" s="77"/>
      <c r="M157" s="77">
        <f>G157</f>
        <v>0</v>
      </c>
      <c r="N157" s="77">
        <f>M157*D157</f>
        <v>0</v>
      </c>
      <c r="O157" s="77">
        <f>M157-N157</f>
        <v>0</v>
      </c>
      <c r="P157" s="77"/>
      <c r="Q157" s="77">
        <f>'Capacity BuildingPP'!M6</f>
        <v>0</v>
      </c>
      <c r="R157" s="77">
        <f>'Capacity BuildingPP'!N6</f>
        <v>0</v>
      </c>
      <c r="S157" s="77">
        <f>'Capacity BuildingPP'!O6</f>
        <v>0</v>
      </c>
      <c r="T157" s="77"/>
      <c r="U157" s="77">
        <f>'Capacity BuildingPP'!P6</f>
        <v>0</v>
      </c>
      <c r="V157" s="77">
        <f>'Capacity BuildingPP'!Q6</f>
        <v>0</v>
      </c>
      <c r="W157" s="77">
        <f>'Capacity BuildingPP'!R6</f>
        <v>0</v>
      </c>
      <c r="X157" s="339"/>
    </row>
    <row r="158" spans="1:24" s="59" customFormat="1" ht="12.75" x14ac:dyDescent="0.35">
      <c r="A158" s="491"/>
      <c r="B158" s="492" t="s">
        <v>384</v>
      </c>
      <c r="C158" s="492"/>
      <c r="D158" s="492"/>
      <c r="E158" s="492"/>
      <c r="F158" s="492"/>
      <c r="G158" s="492"/>
      <c r="H158" s="492"/>
      <c r="I158" s="492"/>
      <c r="J158" s="492"/>
      <c r="K158" s="492"/>
      <c r="L158" s="492"/>
      <c r="M158" s="70">
        <f>SUM(M155:M157)</f>
        <v>0</v>
      </c>
      <c r="N158" s="70">
        <f t="shared" ref="N158:V158" si="3">SUM(N155:N157)</f>
        <v>0</v>
      </c>
      <c r="O158" s="70">
        <f t="shared" si="3"/>
        <v>0</v>
      </c>
      <c r="P158" s="70"/>
      <c r="Q158" s="70">
        <f t="shared" si="3"/>
        <v>0</v>
      </c>
      <c r="R158" s="70">
        <f t="shared" si="3"/>
        <v>0</v>
      </c>
      <c r="S158" s="70">
        <f t="shared" si="3"/>
        <v>0</v>
      </c>
      <c r="T158" s="70"/>
      <c r="U158" s="70">
        <f t="shared" si="3"/>
        <v>0</v>
      </c>
      <c r="V158" s="70">
        <f t="shared" si="3"/>
        <v>0</v>
      </c>
      <c r="W158" s="70">
        <f>SUM(W155:W157)</f>
        <v>0</v>
      </c>
      <c r="X158" s="338">
        <f>SUM(X155:X157)</f>
        <v>0</v>
      </c>
    </row>
    <row r="159" spans="1:24" x14ac:dyDescent="0.4">
      <c r="A159" s="530"/>
      <c r="B159" s="531"/>
      <c r="C159" s="531"/>
      <c r="D159" s="531"/>
      <c r="E159" s="531"/>
      <c r="F159" s="531"/>
      <c r="G159" s="531"/>
      <c r="H159" s="531"/>
      <c r="I159" s="531"/>
      <c r="J159" s="531"/>
      <c r="K159" s="531"/>
      <c r="L159" s="531"/>
      <c r="M159" s="531"/>
      <c r="N159" s="531"/>
      <c r="O159" s="531"/>
      <c r="P159" s="531"/>
      <c r="Q159" s="531"/>
      <c r="R159" s="531"/>
      <c r="S159" s="531"/>
      <c r="T159" s="531"/>
      <c r="U159" s="531"/>
      <c r="V159" s="531"/>
      <c r="W159" s="531"/>
      <c r="X159" s="532"/>
    </row>
    <row r="160" spans="1:24" s="64" customFormat="1" ht="21.75" customHeight="1" thickBot="1" x14ac:dyDescent="0.4">
      <c r="A160" s="476" t="s">
        <v>385</v>
      </c>
      <c r="B160" s="477"/>
      <c r="C160" s="477"/>
      <c r="D160" s="477"/>
      <c r="E160" s="477"/>
      <c r="F160" s="477"/>
      <c r="G160" s="477"/>
      <c r="H160" s="107">
        <f>G8+G11+G14+G16+G20+G22+G24+G27+G38+G41+G42+G63+G65+G69+G73+G74+G77+G82+G86+G108+G110+G112+G115+G119+G121+G124+G127+G145+G150+G155</f>
        <v>0</v>
      </c>
      <c r="I160" s="478"/>
      <c r="J160" s="478"/>
      <c r="K160" s="478"/>
      <c r="L160" s="479"/>
      <c r="M160" s="79">
        <f>M60+M104+M148+M153+M158</f>
        <v>0</v>
      </c>
      <c r="N160" s="79">
        <f>N60+N104+N148+N153+N158</f>
        <v>0</v>
      </c>
      <c r="O160" s="79">
        <f>O60+O104+O148+O153+O158</f>
        <v>0</v>
      </c>
      <c r="P160" s="79"/>
      <c r="Q160" s="79">
        <f>Q60+Q104+Q148+Q153+Q158</f>
        <v>0</v>
      </c>
      <c r="R160" s="79">
        <f>R60+R104+R148+R153+R158</f>
        <v>0</v>
      </c>
      <c r="S160" s="79">
        <f>S60+S104+S148+S153+S158</f>
        <v>0</v>
      </c>
      <c r="T160" s="79"/>
      <c r="U160" s="79">
        <f>U60+U104+U148+U153+U158</f>
        <v>0</v>
      </c>
      <c r="V160" s="79">
        <f>V60+V104+V148+V153+V158</f>
        <v>0</v>
      </c>
      <c r="W160" s="79">
        <f>W60+W104+W148+W153+W158</f>
        <v>0</v>
      </c>
      <c r="X160" s="340">
        <f>X60+X104+X148+X153+X158</f>
        <v>0</v>
      </c>
    </row>
    <row r="163" spans="17:18" x14ac:dyDescent="0.4">
      <c r="Q163" s="229"/>
      <c r="R163" s="229"/>
    </row>
  </sheetData>
  <mergeCells count="890">
    <mergeCell ref="W51:W53"/>
    <mergeCell ref="X51:X53"/>
    <mergeCell ref="P54:P56"/>
    <mergeCell ref="Q54:Q56"/>
    <mergeCell ref="R54:R56"/>
    <mergeCell ref="S54:S56"/>
    <mergeCell ref="T54:T56"/>
    <mergeCell ref="U54:U56"/>
    <mergeCell ref="V54:V56"/>
    <mergeCell ref="W57:W59"/>
    <mergeCell ref="X57:X59"/>
    <mergeCell ref="L57:L59"/>
    <mergeCell ref="M57:M59"/>
    <mergeCell ref="N57:N59"/>
    <mergeCell ref="O57:O59"/>
    <mergeCell ref="P57:P59"/>
    <mergeCell ref="Q57:Q59"/>
    <mergeCell ref="R57:R59"/>
    <mergeCell ref="S57:S59"/>
    <mergeCell ref="T57:T59"/>
    <mergeCell ref="R48:R50"/>
    <mergeCell ref="S48:S50"/>
    <mergeCell ref="T48:T50"/>
    <mergeCell ref="U48:U50"/>
    <mergeCell ref="V48:V50"/>
    <mergeCell ref="P45:P47"/>
    <mergeCell ref="Q45:Q47"/>
    <mergeCell ref="R45:R47"/>
    <mergeCell ref="U45:U47"/>
    <mergeCell ref="S45:S47"/>
    <mergeCell ref="B48:B50"/>
    <mergeCell ref="C48:C50"/>
    <mergeCell ref="D48:D50"/>
    <mergeCell ref="E48:E50"/>
    <mergeCell ref="K48:K50"/>
    <mergeCell ref="L48:L50"/>
    <mergeCell ref="M48:M50"/>
    <mergeCell ref="N48:N50"/>
    <mergeCell ref="O48:O50"/>
    <mergeCell ref="B57:B59"/>
    <mergeCell ref="C57:C59"/>
    <mergeCell ref="D57:D59"/>
    <mergeCell ref="B51:B53"/>
    <mergeCell ref="C51:C53"/>
    <mergeCell ref="D51:D53"/>
    <mergeCell ref="E51:E53"/>
    <mergeCell ref="B54:B56"/>
    <mergeCell ref="C54:C56"/>
    <mergeCell ref="D54:D56"/>
    <mergeCell ref="E54:E56"/>
    <mergeCell ref="B45:B47"/>
    <mergeCell ref="C45:C47"/>
    <mergeCell ref="D45:D47"/>
    <mergeCell ref="E45:E47"/>
    <mergeCell ref="K45:K47"/>
    <mergeCell ref="L45:L47"/>
    <mergeCell ref="M45:M47"/>
    <mergeCell ref="N45:N47"/>
    <mergeCell ref="O45:O47"/>
    <mergeCell ref="R62:R64"/>
    <mergeCell ref="R65:R67"/>
    <mergeCell ref="M74:M76"/>
    <mergeCell ref="S51:S53"/>
    <mergeCell ref="M51:M53"/>
    <mergeCell ref="N51:N53"/>
    <mergeCell ref="O51:O53"/>
    <mergeCell ref="M54:M56"/>
    <mergeCell ref="N54:N56"/>
    <mergeCell ref="O54:O56"/>
    <mergeCell ref="U65:U67"/>
    <mergeCell ref="U68:U70"/>
    <mergeCell ref="U57:U59"/>
    <mergeCell ref="V57:V59"/>
    <mergeCell ref="P51:P53"/>
    <mergeCell ref="K51:K53"/>
    <mergeCell ref="L51:L53"/>
    <mergeCell ref="K54:K56"/>
    <mergeCell ref="L54:L56"/>
    <mergeCell ref="T51:T53"/>
    <mergeCell ref="U51:U53"/>
    <mergeCell ref="V51:V53"/>
    <mergeCell ref="O65:O67"/>
    <mergeCell ref="N68:N70"/>
    <mergeCell ref="O68:O70"/>
    <mergeCell ref="Q68:Q70"/>
    <mergeCell ref="Q62:Q64"/>
    <mergeCell ref="Q65:Q67"/>
    <mergeCell ref="Q51:Q53"/>
    <mergeCell ref="R51:R53"/>
    <mergeCell ref="S62:S64"/>
    <mergeCell ref="S68:S70"/>
    <mergeCell ref="R68:R70"/>
    <mergeCell ref="S65:S67"/>
    <mergeCell ref="M89:M91"/>
    <mergeCell ref="N89:N91"/>
    <mergeCell ref="O89:O91"/>
    <mergeCell ref="P89:P91"/>
    <mergeCell ref="Q89:Q91"/>
    <mergeCell ref="J62:J64"/>
    <mergeCell ref="J65:J67"/>
    <mergeCell ref="J68:J70"/>
    <mergeCell ref="J71:J73"/>
    <mergeCell ref="N74:N76"/>
    <mergeCell ref="M77:M79"/>
    <mergeCell ref="J74:J76"/>
    <mergeCell ref="N92:N94"/>
    <mergeCell ref="O92:O94"/>
    <mergeCell ref="R89:R91"/>
    <mergeCell ref="W92:W94"/>
    <mergeCell ref="Q83:Q85"/>
    <mergeCell ref="O74:O76"/>
    <mergeCell ref="N77:N79"/>
    <mergeCell ref="R83:R85"/>
    <mergeCell ref="W86:W88"/>
    <mergeCell ref="O77:O79"/>
    <mergeCell ref="W80:W82"/>
    <mergeCell ref="W83:W85"/>
    <mergeCell ref="V80:V82"/>
    <mergeCell ref="R80:R82"/>
    <mergeCell ref="S80:S82"/>
    <mergeCell ref="S74:S76"/>
    <mergeCell ref="O80:O82"/>
    <mergeCell ref="N80:N82"/>
    <mergeCell ref="R74:R76"/>
    <mergeCell ref="R77:R79"/>
    <mergeCell ref="U86:U88"/>
    <mergeCell ref="V86:V88"/>
    <mergeCell ref="T145:T147"/>
    <mergeCell ref="T45:T47"/>
    <mergeCell ref="P145:P147"/>
    <mergeCell ref="T112:T114"/>
    <mergeCell ref="T115:T117"/>
    <mergeCell ref="T118:T120"/>
    <mergeCell ref="T121:T123"/>
    <mergeCell ref="T124:T126"/>
    <mergeCell ref="T127:T129"/>
    <mergeCell ref="T130:T132"/>
    <mergeCell ref="T133:T135"/>
    <mergeCell ref="T136:T138"/>
    <mergeCell ref="P121:P123"/>
    <mergeCell ref="P124:P126"/>
    <mergeCell ref="S124:S126"/>
    <mergeCell ref="R112:R114"/>
    <mergeCell ref="S133:S135"/>
    <mergeCell ref="Q121:Q123"/>
    <mergeCell ref="S92:S94"/>
    <mergeCell ref="Q136:Q138"/>
    <mergeCell ref="R136:R138"/>
    <mergeCell ref="S136:S138"/>
    <mergeCell ref="T65:T67"/>
    <mergeCell ref="T68:T70"/>
    <mergeCell ref="A5:X5"/>
    <mergeCell ref="A61:X61"/>
    <mergeCell ref="A105:X105"/>
    <mergeCell ref="A149:X149"/>
    <mergeCell ref="A154:X154"/>
    <mergeCell ref="A159:X159"/>
    <mergeCell ref="P6:P8"/>
    <mergeCell ref="T6:T8"/>
    <mergeCell ref="P9:P11"/>
    <mergeCell ref="P12:P14"/>
    <mergeCell ref="P15:P17"/>
    <mergeCell ref="P18:P20"/>
    <mergeCell ref="P21:P23"/>
    <mergeCell ref="P24:P26"/>
    <mergeCell ref="P27:P29"/>
    <mergeCell ref="P30:P32"/>
    <mergeCell ref="P33:P35"/>
    <mergeCell ref="P36:P38"/>
    <mergeCell ref="P39:P41"/>
    <mergeCell ref="P42:P44"/>
    <mergeCell ref="P62:P64"/>
    <mergeCell ref="T80:T82"/>
    <mergeCell ref="T83:T85"/>
    <mergeCell ref="T86:T88"/>
    <mergeCell ref="S127:S129"/>
    <mergeCell ref="P109:P111"/>
    <mergeCell ref="P112:P114"/>
    <mergeCell ref="P115:P117"/>
    <mergeCell ref="T106:T108"/>
    <mergeCell ref="P74:P76"/>
    <mergeCell ref="P77:P79"/>
    <mergeCell ref="P80:P82"/>
    <mergeCell ref="P83:P85"/>
    <mergeCell ref="P86:P88"/>
    <mergeCell ref="P106:P108"/>
    <mergeCell ref="T74:T76"/>
    <mergeCell ref="T77:T79"/>
    <mergeCell ref="P127:P129"/>
    <mergeCell ref="Q77:Q79"/>
    <mergeCell ref="T95:T97"/>
    <mergeCell ref="P98:P100"/>
    <mergeCell ref="Q98:Q100"/>
    <mergeCell ref="R98:R100"/>
    <mergeCell ref="S98:S100"/>
    <mergeCell ref="T98:T100"/>
    <mergeCell ref="P92:P94"/>
    <mergeCell ref="Q92:Q94"/>
    <mergeCell ref="R92:R94"/>
    <mergeCell ref="W106:W108"/>
    <mergeCell ref="U74:U76"/>
    <mergeCell ref="Q80:Q82"/>
    <mergeCell ref="T92:T94"/>
    <mergeCell ref="X139:X141"/>
    <mergeCell ref="X142:X144"/>
    <mergeCell ref="X145:X147"/>
    <mergeCell ref="X77:X79"/>
    <mergeCell ref="X80:X82"/>
    <mergeCell ref="X83:X85"/>
    <mergeCell ref="X86:X88"/>
    <mergeCell ref="X106:X108"/>
    <mergeCell ref="X109:X111"/>
    <mergeCell ref="X112:X114"/>
    <mergeCell ref="X115:X117"/>
    <mergeCell ref="X118:X120"/>
    <mergeCell ref="X121:X123"/>
    <mergeCell ref="X124:X126"/>
    <mergeCell ref="X127:X129"/>
    <mergeCell ref="X130:X132"/>
    <mergeCell ref="X133:X135"/>
    <mergeCell ref="X136:X138"/>
    <mergeCell ref="X89:X91"/>
    <mergeCell ref="X92:X94"/>
    <mergeCell ref="X33:X35"/>
    <mergeCell ref="X36:X38"/>
    <mergeCell ref="X39:X41"/>
    <mergeCell ref="X42:X44"/>
    <mergeCell ref="X62:X64"/>
    <mergeCell ref="X65:X67"/>
    <mergeCell ref="X68:X70"/>
    <mergeCell ref="X71:X73"/>
    <mergeCell ref="X74:X76"/>
    <mergeCell ref="X48:X50"/>
    <mergeCell ref="X54:X56"/>
    <mergeCell ref="X45:X47"/>
    <mergeCell ref="X6:X8"/>
    <mergeCell ref="X9:X11"/>
    <mergeCell ref="X12:X14"/>
    <mergeCell ref="X15:X17"/>
    <mergeCell ref="X18:X20"/>
    <mergeCell ref="X21:X23"/>
    <mergeCell ref="X24:X26"/>
    <mergeCell ref="X27:X29"/>
    <mergeCell ref="X30:X32"/>
    <mergeCell ref="V142:V144"/>
    <mergeCell ref="W142:W144"/>
    <mergeCell ref="N142:N144"/>
    <mergeCell ref="O142:O144"/>
    <mergeCell ref="Q142:Q144"/>
    <mergeCell ref="R142:R144"/>
    <mergeCell ref="S142:S144"/>
    <mergeCell ref="U142:U144"/>
    <mergeCell ref="U139:U141"/>
    <mergeCell ref="V139:V141"/>
    <mergeCell ref="W139:W141"/>
    <mergeCell ref="O139:O141"/>
    <mergeCell ref="Q139:Q141"/>
    <mergeCell ref="R139:R141"/>
    <mergeCell ref="S139:S141"/>
    <mergeCell ref="T139:T141"/>
    <mergeCell ref="T142:T144"/>
    <mergeCell ref="P139:P141"/>
    <mergeCell ref="P142:P144"/>
    <mergeCell ref="D142:D144"/>
    <mergeCell ref="E142:E144"/>
    <mergeCell ref="K142:K144"/>
    <mergeCell ref="L142:L144"/>
    <mergeCell ref="M142:M144"/>
    <mergeCell ref="M139:M141"/>
    <mergeCell ref="N139:N141"/>
    <mergeCell ref="B139:B141"/>
    <mergeCell ref="C139:C141"/>
    <mergeCell ref="D139:D141"/>
    <mergeCell ref="E139:E141"/>
    <mergeCell ref="K139:K141"/>
    <mergeCell ref="L139:L141"/>
    <mergeCell ref="J139:J141"/>
    <mergeCell ref="J142:J144"/>
    <mergeCell ref="U136:U138"/>
    <mergeCell ref="V136:V138"/>
    <mergeCell ref="W136:W138"/>
    <mergeCell ref="W133:W135"/>
    <mergeCell ref="P130:P132"/>
    <mergeCell ref="P133:P135"/>
    <mergeCell ref="P136:P138"/>
    <mergeCell ref="N130:N132"/>
    <mergeCell ref="O133:O135"/>
    <mergeCell ref="Q133:Q135"/>
    <mergeCell ref="R133:R135"/>
    <mergeCell ref="U133:U135"/>
    <mergeCell ref="V133:V135"/>
    <mergeCell ref="N136:N138"/>
    <mergeCell ref="O136:O138"/>
    <mergeCell ref="W118:W120"/>
    <mergeCell ref="W42:W44"/>
    <mergeCell ref="V130:V132"/>
    <mergeCell ref="W130:W132"/>
    <mergeCell ref="O130:O132"/>
    <mergeCell ref="Q130:Q132"/>
    <mergeCell ref="R130:R132"/>
    <mergeCell ref="S130:S132"/>
    <mergeCell ref="U130:U132"/>
    <mergeCell ref="R115:R117"/>
    <mergeCell ref="Q74:Q76"/>
    <mergeCell ref="V112:V114"/>
    <mergeCell ref="W112:W114"/>
    <mergeCell ref="W115:W117"/>
    <mergeCell ref="Q112:Q114"/>
    <mergeCell ref="U106:U108"/>
    <mergeCell ref="V74:V76"/>
    <mergeCell ref="V118:V120"/>
    <mergeCell ref="S77:S79"/>
    <mergeCell ref="Q71:Q73"/>
    <mergeCell ref="R71:R73"/>
    <mergeCell ref="S71:S73"/>
    <mergeCell ref="V68:V70"/>
    <mergeCell ref="U62:U64"/>
    <mergeCell ref="B42:B44"/>
    <mergeCell ref="S115:S117"/>
    <mergeCell ref="L115:L117"/>
    <mergeCell ref="V12:V14"/>
    <mergeCell ref="R15:R17"/>
    <mergeCell ref="S15:S17"/>
    <mergeCell ref="U33:U35"/>
    <mergeCell ref="V33:V35"/>
    <mergeCell ref="N15:N17"/>
    <mergeCell ref="O15:O17"/>
    <mergeCell ref="N12:N14"/>
    <mergeCell ref="V115:V117"/>
    <mergeCell ref="O12:O14"/>
    <mergeCell ref="S21:S23"/>
    <mergeCell ref="V15:V17"/>
    <mergeCell ref="S12:S14"/>
    <mergeCell ref="Q15:Q17"/>
    <mergeCell ref="M115:M117"/>
    <mergeCell ref="N115:N117"/>
    <mergeCell ref="B109:B111"/>
    <mergeCell ref="S33:S35"/>
    <mergeCell ref="T12:T14"/>
    <mergeCell ref="T15:T17"/>
    <mergeCell ref="M92:M94"/>
    <mergeCell ref="U115:U117"/>
    <mergeCell ref="B115:B117"/>
    <mergeCell ref="S118:S120"/>
    <mergeCell ref="U118:U120"/>
    <mergeCell ref="Q115:Q117"/>
    <mergeCell ref="P65:P67"/>
    <mergeCell ref="P68:P70"/>
    <mergeCell ref="P71:P73"/>
    <mergeCell ref="T36:T38"/>
    <mergeCell ref="T39:T41"/>
    <mergeCell ref="T42:T44"/>
    <mergeCell ref="T62:T64"/>
    <mergeCell ref="B118:B120"/>
    <mergeCell ref="C118:C120"/>
    <mergeCell ref="D118:D120"/>
    <mergeCell ref="E118:E120"/>
    <mergeCell ref="P118:P120"/>
    <mergeCell ref="C42:C44"/>
    <mergeCell ref="B92:B94"/>
    <mergeCell ref="C92:C94"/>
    <mergeCell ref="D92:D94"/>
    <mergeCell ref="E92:E94"/>
    <mergeCell ref="K92:K94"/>
    <mergeCell ref="L92:L94"/>
    <mergeCell ref="W6:W8"/>
    <mergeCell ref="M9:M11"/>
    <mergeCell ref="N9:N11"/>
    <mergeCell ref="O9:O11"/>
    <mergeCell ref="Q9:Q11"/>
    <mergeCell ref="Q6:Q8"/>
    <mergeCell ref="R6:R8"/>
    <mergeCell ref="S6:S8"/>
    <mergeCell ref="R9:R11"/>
    <mergeCell ref="S9:S11"/>
    <mergeCell ref="U9:U11"/>
    <mergeCell ref="V9:V11"/>
    <mergeCell ref="N6:N8"/>
    <mergeCell ref="O6:O8"/>
    <mergeCell ref="U6:U8"/>
    <mergeCell ref="V6:V8"/>
    <mergeCell ref="M6:M8"/>
    <mergeCell ref="T9:T11"/>
    <mergeCell ref="T71:T73"/>
    <mergeCell ref="M62:M64"/>
    <mergeCell ref="M65:M67"/>
    <mergeCell ref="V62:V64"/>
    <mergeCell ref="J57:J59"/>
    <mergeCell ref="K6:K8"/>
    <mergeCell ref="L6:L8"/>
    <mergeCell ref="K12:K14"/>
    <mergeCell ref="L12:L14"/>
    <mergeCell ref="R21:R23"/>
    <mergeCell ref="M18:M20"/>
    <mergeCell ref="N18:N20"/>
    <mergeCell ref="O18:O20"/>
    <mergeCell ref="M21:M23"/>
    <mergeCell ref="N21:N23"/>
    <mergeCell ref="O24:O26"/>
    <mergeCell ref="Q24:Q26"/>
    <mergeCell ref="N24:N26"/>
    <mergeCell ref="U18:U20"/>
    <mergeCell ref="T18:T20"/>
    <mergeCell ref="T21:T23"/>
    <mergeCell ref="S27:S29"/>
    <mergeCell ref="U27:U29"/>
    <mergeCell ref="U42:U44"/>
    <mergeCell ref="B12:B14"/>
    <mergeCell ref="C12:C14"/>
    <mergeCell ref="D12:D14"/>
    <mergeCell ref="B33:B35"/>
    <mergeCell ref="C33:C35"/>
    <mergeCell ref="D33:D35"/>
    <mergeCell ref="E33:E35"/>
    <mergeCell ref="K33:K35"/>
    <mergeCell ref="J6:J8"/>
    <mergeCell ref="J9:J11"/>
    <mergeCell ref="J12:J14"/>
    <mergeCell ref="J15:J17"/>
    <mergeCell ref="D15:D17"/>
    <mergeCell ref="E15:E17"/>
    <mergeCell ref="B6:B8"/>
    <mergeCell ref="C6:C8"/>
    <mergeCell ref="D6:D8"/>
    <mergeCell ref="E6:E8"/>
    <mergeCell ref="E12:E14"/>
    <mergeCell ref="B15:B17"/>
    <mergeCell ref="C15:C17"/>
    <mergeCell ref="D24:D26"/>
    <mergeCell ref="E24:E26"/>
    <mergeCell ref="J24:J26"/>
    <mergeCell ref="C115:C117"/>
    <mergeCell ref="D115:D117"/>
    <mergeCell ref="E115:E117"/>
    <mergeCell ref="K115:K117"/>
    <mergeCell ref="O115:O117"/>
    <mergeCell ref="K42:K44"/>
    <mergeCell ref="M83:M85"/>
    <mergeCell ref="N83:N85"/>
    <mergeCell ref="O83:O85"/>
    <mergeCell ref="L62:L64"/>
    <mergeCell ref="K65:K67"/>
    <mergeCell ref="L65:L67"/>
    <mergeCell ref="K68:K70"/>
    <mergeCell ref="L68:L70"/>
    <mergeCell ref="K71:K73"/>
    <mergeCell ref="L71:L73"/>
    <mergeCell ref="D65:D67"/>
    <mergeCell ref="C106:C108"/>
    <mergeCell ref="D106:D108"/>
    <mergeCell ref="E106:E108"/>
    <mergeCell ref="L106:L108"/>
    <mergeCell ref="L83:L85"/>
    <mergeCell ref="K106:K108"/>
    <mergeCell ref="L74:L76"/>
    <mergeCell ref="W15:W17"/>
    <mergeCell ref="V42:V44"/>
    <mergeCell ref="W9:W11"/>
    <mergeCell ref="K118:K120"/>
    <mergeCell ref="L118:L120"/>
    <mergeCell ref="M118:M120"/>
    <mergeCell ref="N118:N120"/>
    <mergeCell ref="O118:O120"/>
    <mergeCell ref="U12:U14"/>
    <mergeCell ref="R12:R14"/>
    <mergeCell ref="U15:U17"/>
    <mergeCell ref="M12:M14"/>
    <mergeCell ref="M15:M17"/>
    <mergeCell ref="W12:W14"/>
    <mergeCell ref="K15:K17"/>
    <mergeCell ref="L15:L17"/>
    <mergeCell ref="Q12:Q14"/>
    <mergeCell ref="V18:V20"/>
    <mergeCell ref="S112:S114"/>
    <mergeCell ref="U112:U114"/>
    <mergeCell ref="W33:W35"/>
    <mergeCell ref="M33:M35"/>
    <mergeCell ref="N33:N35"/>
    <mergeCell ref="K18:K20"/>
    <mergeCell ref="B18:B20"/>
    <mergeCell ref="C18:C20"/>
    <mergeCell ref="D18:D20"/>
    <mergeCell ref="E18:E20"/>
    <mergeCell ref="L21:L23"/>
    <mergeCell ref="Q18:Q20"/>
    <mergeCell ref="B21:B23"/>
    <mergeCell ref="C21:C23"/>
    <mergeCell ref="D21:D23"/>
    <mergeCell ref="E21:E23"/>
    <mergeCell ref="K21:K23"/>
    <mergeCell ref="J18:J20"/>
    <mergeCell ref="J21:J23"/>
    <mergeCell ref="O21:O23"/>
    <mergeCell ref="V30:V32"/>
    <mergeCell ref="S30:S32"/>
    <mergeCell ref="R24:R26"/>
    <mergeCell ref="U30:U32"/>
    <mergeCell ref="V24:V26"/>
    <mergeCell ref="S39:S41"/>
    <mergeCell ref="V36:V38"/>
    <mergeCell ref="R33:R35"/>
    <mergeCell ref="T24:T26"/>
    <mergeCell ref="T27:T29"/>
    <mergeCell ref="R30:R32"/>
    <mergeCell ref="R39:R41"/>
    <mergeCell ref="R27:R29"/>
    <mergeCell ref="M39:M41"/>
    <mergeCell ref="V65:V67"/>
    <mergeCell ref="M68:M70"/>
    <mergeCell ref="S42:S44"/>
    <mergeCell ref="W18:W20"/>
    <mergeCell ref="V21:V23"/>
    <mergeCell ref="W21:W23"/>
    <mergeCell ref="W27:W29"/>
    <mergeCell ref="W30:W32"/>
    <mergeCell ref="W39:W41"/>
    <mergeCell ref="W24:W26"/>
    <mergeCell ref="U21:U23"/>
    <mergeCell ref="U24:U26"/>
    <mergeCell ref="T30:T32"/>
    <mergeCell ref="T33:T35"/>
    <mergeCell ref="R18:R20"/>
    <mergeCell ref="S18:S20"/>
    <mergeCell ref="V27:V29"/>
    <mergeCell ref="R42:R44"/>
    <mergeCell ref="Q21:Q23"/>
    <mergeCell ref="S24:S26"/>
    <mergeCell ref="U39:U41"/>
    <mergeCell ref="V39:V41"/>
    <mergeCell ref="R36:R38"/>
    <mergeCell ref="W109:W111"/>
    <mergeCell ref="S36:S38"/>
    <mergeCell ref="U36:U38"/>
    <mergeCell ref="S83:S85"/>
    <mergeCell ref="U83:U85"/>
    <mergeCell ref="V83:V85"/>
    <mergeCell ref="W74:W76"/>
    <mergeCell ref="U77:U79"/>
    <mergeCell ref="V77:V79"/>
    <mergeCell ref="W77:W79"/>
    <mergeCell ref="U80:U82"/>
    <mergeCell ref="W68:W70"/>
    <mergeCell ref="U71:U73"/>
    <mergeCell ref="V71:V73"/>
    <mergeCell ref="W71:W73"/>
    <mergeCell ref="W62:W64"/>
    <mergeCell ref="W36:W38"/>
    <mergeCell ref="W95:W97"/>
    <mergeCell ref="W98:W100"/>
    <mergeCell ref="V45:V47"/>
    <mergeCell ref="W65:W67"/>
    <mergeCell ref="W48:W50"/>
    <mergeCell ref="W54:W56"/>
    <mergeCell ref="W45:W47"/>
    <mergeCell ref="A6:A60"/>
    <mergeCell ref="B104:L104"/>
    <mergeCell ref="B60:L60"/>
    <mergeCell ref="B71:B73"/>
    <mergeCell ref="B68:B70"/>
    <mergeCell ref="B65:B67"/>
    <mergeCell ref="D74:D76"/>
    <mergeCell ref="B39:B41"/>
    <mergeCell ref="K39:K41"/>
    <mergeCell ref="L39:L41"/>
    <mergeCell ref="B89:B91"/>
    <mergeCell ref="C89:C91"/>
    <mergeCell ref="D89:D91"/>
    <mergeCell ref="E89:E91"/>
    <mergeCell ref="K89:K91"/>
    <mergeCell ref="L89:L91"/>
    <mergeCell ref="L24:L26"/>
    <mergeCell ref="L18:L20"/>
    <mergeCell ref="B9:B11"/>
    <mergeCell ref="C9:C11"/>
    <mergeCell ref="D9:D11"/>
    <mergeCell ref="E9:E11"/>
    <mergeCell ref="K9:K11"/>
    <mergeCell ref="L9:L11"/>
    <mergeCell ref="B24:B26"/>
    <mergeCell ref="O71:O73"/>
    <mergeCell ref="K24:K26"/>
    <mergeCell ref="C62:C64"/>
    <mergeCell ref="C65:C67"/>
    <mergeCell ref="C68:C70"/>
    <mergeCell ref="N71:N73"/>
    <mergeCell ref="L33:L35"/>
    <mergeCell ref="B27:B29"/>
    <mergeCell ref="E36:E38"/>
    <mergeCell ref="C36:C38"/>
    <mergeCell ref="D36:D38"/>
    <mergeCell ref="C27:C29"/>
    <mergeCell ref="D27:D29"/>
    <mergeCell ref="E27:E29"/>
    <mergeCell ref="B36:B38"/>
    <mergeCell ref="C24:C26"/>
    <mergeCell ref="M27:M29"/>
    <mergeCell ref="M24:M26"/>
    <mergeCell ref="K27:K29"/>
    <mergeCell ref="L27:L29"/>
    <mergeCell ref="N62:N64"/>
    <mergeCell ref="O62:O64"/>
    <mergeCell ref="N65:N67"/>
    <mergeCell ref="N39:N41"/>
    <mergeCell ref="N27:N29"/>
    <mergeCell ref="O27:O29"/>
    <mergeCell ref="O30:O32"/>
    <mergeCell ref="Q30:Q32"/>
    <mergeCell ref="Q27:Q29"/>
    <mergeCell ref="Q33:Q35"/>
    <mergeCell ref="P48:P50"/>
    <mergeCell ref="Q48:Q50"/>
    <mergeCell ref="Q36:Q38"/>
    <mergeCell ref="O39:O41"/>
    <mergeCell ref="Q39:Q41"/>
    <mergeCell ref="O42:O44"/>
    <mergeCell ref="Q42:Q44"/>
    <mergeCell ref="O36:O38"/>
    <mergeCell ref="O33:O35"/>
    <mergeCell ref="B121:B123"/>
    <mergeCell ref="B74:B76"/>
    <mergeCell ref="B77:B79"/>
    <mergeCell ref="B62:B64"/>
    <mergeCell ref="E65:E67"/>
    <mergeCell ref="D68:D70"/>
    <mergeCell ref="E68:E70"/>
    <mergeCell ref="K77:K79"/>
    <mergeCell ref="B106:B108"/>
    <mergeCell ref="B83:B85"/>
    <mergeCell ref="C80:C82"/>
    <mergeCell ref="C83:C85"/>
    <mergeCell ref="D80:D82"/>
    <mergeCell ref="E80:E82"/>
    <mergeCell ref="B80:B82"/>
    <mergeCell ref="D77:D79"/>
    <mergeCell ref="E77:E79"/>
    <mergeCell ref="C77:C79"/>
    <mergeCell ref="C71:C73"/>
    <mergeCell ref="C74:C76"/>
    <mergeCell ref="C109:C111"/>
    <mergeCell ref="D109:D111"/>
    <mergeCell ref="E109:E111"/>
    <mergeCell ref="K109:K111"/>
    <mergeCell ref="D145:D147"/>
    <mergeCell ref="E145:E147"/>
    <mergeCell ref="K145:K147"/>
    <mergeCell ref="L145:L147"/>
    <mergeCell ref="M145:M147"/>
    <mergeCell ref="B130:B132"/>
    <mergeCell ref="C130:C132"/>
    <mergeCell ref="D130:D132"/>
    <mergeCell ref="E130:E132"/>
    <mergeCell ref="K130:K132"/>
    <mergeCell ref="L130:L132"/>
    <mergeCell ref="M130:M132"/>
    <mergeCell ref="B133:B135"/>
    <mergeCell ref="C133:C135"/>
    <mergeCell ref="B136:B138"/>
    <mergeCell ref="C136:C138"/>
    <mergeCell ref="D136:D138"/>
    <mergeCell ref="E136:E138"/>
    <mergeCell ref="K136:K138"/>
    <mergeCell ref="L136:L138"/>
    <mergeCell ref="M136:M138"/>
    <mergeCell ref="D133:D135"/>
    <mergeCell ref="B142:B144"/>
    <mergeCell ref="C142:C144"/>
    <mergeCell ref="B86:B88"/>
    <mergeCell ref="C86:C88"/>
    <mergeCell ref="N112:N114"/>
    <mergeCell ref="O112:O114"/>
    <mergeCell ref="O121:O123"/>
    <mergeCell ref="V127:V129"/>
    <mergeCell ref="W127:W129"/>
    <mergeCell ref="W89:W91"/>
    <mergeCell ref="C121:C123"/>
    <mergeCell ref="D121:D123"/>
    <mergeCell ref="O86:O88"/>
    <mergeCell ref="Q86:Q88"/>
    <mergeCell ref="R86:R88"/>
    <mergeCell ref="S86:S88"/>
    <mergeCell ref="M112:M114"/>
    <mergeCell ref="U127:U129"/>
    <mergeCell ref="B127:B129"/>
    <mergeCell ref="C127:C129"/>
    <mergeCell ref="D127:D129"/>
    <mergeCell ref="E127:E129"/>
    <mergeCell ref="W121:W123"/>
    <mergeCell ref="B124:B126"/>
    <mergeCell ref="V121:V123"/>
    <mergeCell ref="W124:W126"/>
    <mergeCell ref="Q127:Q129"/>
    <mergeCell ref="R127:R129"/>
    <mergeCell ref="N86:N88"/>
    <mergeCell ref="S89:S91"/>
    <mergeCell ref="T89:T91"/>
    <mergeCell ref="U89:U91"/>
    <mergeCell ref="V89:V91"/>
    <mergeCell ref="O124:O126"/>
    <mergeCell ref="Q124:Q126"/>
    <mergeCell ref="R124:R126"/>
    <mergeCell ref="R121:R123"/>
    <mergeCell ref="V109:V111"/>
    <mergeCell ref="U92:U94"/>
    <mergeCell ref="V92:V94"/>
    <mergeCell ref="S106:S108"/>
    <mergeCell ref="R106:R108"/>
    <mergeCell ref="P95:P97"/>
    <mergeCell ref="Q95:Q97"/>
    <mergeCell ref="R95:R97"/>
    <mergeCell ref="S95:S97"/>
    <mergeCell ref="N121:N123"/>
    <mergeCell ref="N109:N111"/>
    <mergeCell ref="N106:N108"/>
    <mergeCell ref="O106:O108"/>
    <mergeCell ref="A62:A104"/>
    <mergeCell ref="E83:E85"/>
    <mergeCell ref="N127:N129"/>
    <mergeCell ref="O127:O129"/>
    <mergeCell ref="S121:S123"/>
    <mergeCell ref="U121:U123"/>
    <mergeCell ref="E74:E76"/>
    <mergeCell ref="K74:K76"/>
    <mergeCell ref="C124:C126"/>
    <mergeCell ref="D124:D126"/>
    <mergeCell ref="E124:E126"/>
    <mergeCell ref="K124:K126"/>
    <mergeCell ref="M127:M129"/>
    <mergeCell ref="K127:K129"/>
    <mergeCell ref="L127:L129"/>
    <mergeCell ref="K62:K64"/>
    <mergeCell ref="D71:D73"/>
    <mergeCell ref="E71:E73"/>
    <mergeCell ref="D62:D64"/>
    <mergeCell ref="E62:E64"/>
    <mergeCell ref="M71:M73"/>
    <mergeCell ref="Q118:Q120"/>
    <mergeCell ref="R118:R120"/>
    <mergeCell ref="U124:U126"/>
    <mergeCell ref="B30:B32"/>
    <mergeCell ref="C30:C32"/>
    <mergeCell ref="D30:D32"/>
    <mergeCell ref="E30:E32"/>
    <mergeCell ref="K30:K32"/>
    <mergeCell ref="L30:L32"/>
    <mergeCell ref="M30:M32"/>
    <mergeCell ref="N30:N32"/>
    <mergeCell ref="L124:L126"/>
    <mergeCell ref="K112:K114"/>
    <mergeCell ref="L112:L114"/>
    <mergeCell ref="K121:K123"/>
    <mergeCell ref="L36:L38"/>
    <mergeCell ref="M36:M38"/>
    <mergeCell ref="K36:K38"/>
    <mergeCell ref="C39:C41"/>
    <mergeCell ref="D39:D41"/>
    <mergeCell ref="E39:E41"/>
    <mergeCell ref="E42:E44"/>
    <mergeCell ref="L42:L44"/>
    <mergeCell ref="M42:M44"/>
    <mergeCell ref="N42:N44"/>
    <mergeCell ref="N36:N38"/>
    <mergeCell ref="N124:N126"/>
    <mergeCell ref="D86:D88"/>
    <mergeCell ref="E86:E88"/>
    <mergeCell ref="K86:K88"/>
    <mergeCell ref="L86:L88"/>
    <mergeCell ref="M86:M88"/>
    <mergeCell ref="L77:L79"/>
    <mergeCell ref="L80:L82"/>
    <mergeCell ref="D83:D85"/>
    <mergeCell ref="M80:M82"/>
    <mergeCell ref="D42:D44"/>
    <mergeCell ref="K80:K82"/>
    <mergeCell ref="K83:K85"/>
    <mergeCell ref="K57:K59"/>
    <mergeCell ref="J86:J88"/>
    <mergeCell ref="E57:E59"/>
    <mergeCell ref="W145:W147"/>
    <mergeCell ref="S145:S147"/>
    <mergeCell ref="U145:U147"/>
    <mergeCell ref="V124:V126"/>
    <mergeCell ref="K95:K97"/>
    <mergeCell ref="L95:L97"/>
    <mergeCell ref="M95:M97"/>
    <mergeCell ref="N95:N97"/>
    <mergeCell ref="O95:O97"/>
    <mergeCell ref="V145:V147"/>
    <mergeCell ref="L121:L123"/>
    <mergeCell ref="M121:M123"/>
    <mergeCell ref="L109:L111"/>
    <mergeCell ref="M109:M111"/>
    <mergeCell ref="O109:O111"/>
    <mergeCell ref="Q106:Q108"/>
    <mergeCell ref="V106:V108"/>
    <mergeCell ref="M106:M108"/>
    <mergeCell ref="A160:G160"/>
    <mergeCell ref="I160:L160"/>
    <mergeCell ref="N145:N147"/>
    <mergeCell ref="O145:O147"/>
    <mergeCell ref="Q145:Q147"/>
    <mergeCell ref="R145:R147"/>
    <mergeCell ref="B153:L153"/>
    <mergeCell ref="A150:A153"/>
    <mergeCell ref="A155:A158"/>
    <mergeCell ref="B158:L158"/>
    <mergeCell ref="A106:A148"/>
    <mergeCell ref="B148:L148"/>
    <mergeCell ref="B112:B114"/>
    <mergeCell ref="C112:C114"/>
    <mergeCell ref="D112:D114"/>
    <mergeCell ref="E112:E114"/>
    <mergeCell ref="M124:M126"/>
    <mergeCell ref="E133:E135"/>
    <mergeCell ref="B145:B147"/>
    <mergeCell ref="C145:C147"/>
    <mergeCell ref="K133:K135"/>
    <mergeCell ref="L133:L135"/>
    <mergeCell ref="M133:M135"/>
    <mergeCell ref="N133:N135"/>
    <mergeCell ref="U109:U111"/>
    <mergeCell ref="T109:T111"/>
    <mergeCell ref="S109:S111"/>
    <mergeCell ref="Q109:Q111"/>
    <mergeCell ref="L98:L100"/>
    <mergeCell ref="M98:M100"/>
    <mergeCell ref="N98:N100"/>
    <mergeCell ref="O98:O100"/>
    <mergeCell ref="R109:R111"/>
    <mergeCell ref="U95:U97"/>
    <mergeCell ref="V95:V97"/>
    <mergeCell ref="U98:U100"/>
    <mergeCell ref="V98:V100"/>
    <mergeCell ref="X95:X97"/>
    <mergeCell ref="X98:X100"/>
    <mergeCell ref="B101:B103"/>
    <mergeCell ref="C101:C103"/>
    <mergeCell ref="D101:D103"/>
    <mergeCell ref="E101:E103"/>
    <mergeCell ref="K101:K103"/>
    <mergeCell ref="L101:L103"/>
    <mergeCell ref="M101:M103"/>
    <mergeCell ref="N101:N103"/>
    <mergeCell ref="O101:O103"/>
    <mergeCell ref="J101:J103"/>
    <mergeCell ref="P101:P103"/>
    <mergeCell ref="Q101:Q103"/>
    <mergeCell ref="R101:R103"/>
    <mergeCell ref="S101:S103"/>
    <mergeCell ref="T101:T103"/>
    <mergeCell ref="U101:U103"/>
    <mergeCell ref="V101:V103"/>
    <mergeCell ref="W101:W103"/>
    <mergeCell ref="X101:X103"/>
    <mergeCell ref="B98:B100"/>
    <mergeCell ref="C98:C100"/>
    <mergeCell ref="D98:D100"/>
    <mergeCell ref="E98:E100"/>
    <mergeCell ref="K98:K100"/>
    <mergeCell ref="J27:J29"/>
    <mergeCell ref="J30:J32"/>
    <mergeCell ref="J33:J35"/>
    <mergeCell ref="J36:J38"/>
    <mergeCell ref="J39:J41"/>
    <mergeCell ref="J42:J44"/>
    <mergeCell ref="J45:J47"/>
    <mergeCell ref="J51:J53"/>
    <mergeCell ref="J83:J85"/>
    <mergeCell ref="J77:J79"/>
    <mergeCell ref="J80:J82"/>
    <mergeCell ref="J89:J91"/>
    <mergeCell ref="J92:J94"/>
    <mergeCell ref="J95:J97"/>
    <mergeCell ref="J98:J100"/>
    <mergeCell ref="B95:B97"/>
    <mergeCell ref="C95:C97"/>
    <mergeCell ref="D95:D97"/>
    <mergeCell ref="E95:E97"/>
    <mergeCell ref="J106:J108"/>
    <mergeCell ref="J109:J111"/>
    <mergeCell ref="J145:J147"/>
    <mergeCell ref="J112:J114"/>
    <mergeCell ref="J115:J117"/>
    <mergeCell ref="J118:J120"/>
    <mergeCell ref="J121:J123"/>
    <mergeCell ref="J124:J126"/>
    <mergeCell ref="J127:J129"/>
    <mergeCell ref="J130:J132"/>
    <mergeCell ref="J133:J135"/>
    <mergeCell ref="J136:J138"/>
    <mergeCell ref="E121:E123"/>
  </mergeCells>
  <pageMargins left="0.74803149606299213" right="0.74803149606299213" top="0.43307086614173229" bottom="0.51181102362204722" header="0.11811023622047245" footer="0.19685039370078741"/>
  <pageSetup paperSize="8" scale="75" fitToHeight="0" orientation="landscape" r:id="rId1"/>
  <headerFooter alignWithMargins="0">
    <oddHeader>&amp;C&amp;"Times New Roman,Bold"&amp;18SUMMARY PROCUREMENT GBWSP&amp;R&amp;"Times New Roman,Regular"&amp;D</oddHeader>
    <oddFooter>&amp;C&amp;"Times New Roman,Regular"Page &amp;P of &amp;N</oddFooter>
  </headerFooter>
  <rowBreaks count="1" manualBreakCount="1">
    <brk id="1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autoPageBreaks="0" fitToPage="1"/>
  </sheetPr>
  <dimension ref="A1:Z71"/>
  <sheetViews>
    <sheetView showGridLines="0" showZeros="0" tabSelected="1" topLeftCell="A4" zoomScale="115" zoomScaleNormal="115" workbookViewId="0">
      <pane xSplit="3" ySplit="2" topLeftCell="D27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R50" sqref="R50:Z52"/>
    </sheetView>
  </sheetViews>
  <sheetFormatPr defaultColWidth="9.1328125" defaultRowHeight="13.15" x14ac:dyDescent="0.35"/>
  <cols>
    <col min="1" max="1" width="12" style="113" bestFit="1" customWidth="1"/>
    <col min="2" max="2" width="12" style="58" bestFit="1" customWidth="1"/>
    <col min="3" max="3" width="18.265625" style="113" customWidth="1"/>
    <col min="4" max="4" width="8" style="113" bestFit="1" customWidth="1"/>
    <col min="5" max="5" width="8.265625" style="58" bestFit="1" customWidth="1"/>
    <col min="6" max="6" width="15.73046875" style="118" bestFit="1" customWidth="1"/>
    <col min="7" max="7" width="15.73046875" style="113" bestFit="1" customWidth="1"/>
    <col min="8" max="9" width="16.59765625" style="113" customWidth="1"/>
    <col min="10" max="10" width="15.73046875" style="119" customWidth="1"/>
    <col min="11" max="12" width="15.73046875" style="113" customWidth="1"/>
    <col min="13" max="14" width="15.73046875" style="119" customWidth="1"/>
    <col min="15" max="16" width="15.73046875" style="113" customWidth="1"/>
    <col min="17" max="17" width="15.73046875" style="119" customWidth="1"/>
    <col min="18" max="18" width="16.73046875" style="120" customWidth="1"/>
    <col min="19" max="19" width="15.73046875" style="120" bestFit="1" customWidth="1"/>
    <col min="20" max="20" width="14.73046875" style="120" bestFit="1" customWidth="1"/>
    <col min="21" max="21" width="15.73046875" style="113" bestFit="1" customWidth="1"/>
    <col min="22" max="22" width="14.73046875" style="113" bestFit="1" customWidth="1"/>
    <col min="23" max="23" width="14.73046875" style="113" customWidth="1"/>
    <col min="24" max="25" width="15.73046875" style="113" bestFit="1" customWidth="1"/>
    <col min="26" max="26" width="16.265625" style="113" bestFit="1" customWidth="1"/>
    <col min="27" max="16384" width="9.1328125" style="113"/>
  </cols>
  <sheetData>
    <row r="1" spans="1:26" ht="17.25" x14ac:dyDescent="0.35">
      <c r="A1" s="111"/>
      <c r="B1" s="379"/>
      <c r="C1" s="111"/>
      <c r="D1" s="111"/>
      <c r="E1" s="379"/>
      <c r="F1" s="112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x14ac:dyDescent="0.35">
      <c r="A2" s="114"/>
      <c r="B2" s="380"/>
      <c r="C2" s="114"/>
      <c r="D2" s="114"/>
      <c r="E2" s="380"/>
      <c r="F2" s="115"/>
      <c r="G2" s="114"/>
      <c r="H2" s="114"/>
      <c r="I2" s="114"/>
      <c r="J2" s="116"/>
      <c r="K2" s="114"/>
      <c r="L2" s="114"/>
      <c r="M2" s="116"/>
      <c r="N2" s="116"/>
      <c r="O2" s="114"/>
      <c r="P2" s="114"/>
      <c r="Q2" s="116"/>
      <c r="R2" s="117"/>
      <c r="S2" s="117"/>
      <c r="T2" s="117"/>
      <c r="U2" s="114"/>
      <c r="V2" s="114"/>
      <c r="W2" s="114"/>
      <c r="X2" s="114"/>
      <c r="Y2" s="114"/>
      <c r="Z2" s="114"/>
    </row>
    <row r="3" spans="1:26" ht="13.5" thickBot="1" x14ac:dyDescent="0.4"/>
    <row r="4" spans="1:26" s="58" customFormat="1" ht="81" customHeight="1" thickBot="1" x14ac:dyDescent="0.4">
      <c r="A4" s="82" t="s">
        <v>453</v>
      </c>
      <c r="B4" s="82" t="s">
        <v>64</v>
      </c>
      <c r="C4" s="82" t="s">
        <v>387</v>
      </c>
      <c r="D4" s="83" t="s">
        <v>351</v>
      </c>
      <c r="E4" s="83" t="s">
        <v>352</v>
      </c>
      <c r="F4" s="108" t="s">
        <v>444</v>
      </c>
      <c r="G4" s="83" t="s">
        <v>445</v>
      </c>
      <c r="H4" s="83" t="s">
        <v>451</v>
      </c>
      <c r="I4" s="83" t="s">
        <v>452</v>
      </c>
      <c r="J4" s="83" t="s">
        <v>485</v>
      </c>
      <c r="K4" s="83" t="s">
        <v>449</v>
      </c>
      <c r="L4" s="83" t="s">
        <v>448</v>
      </c>
      <c r="M4" s="83" t="s">
        <v>450</v>
      </c>
      <c r="N4" s="83" t="s">
        <v>483</v>
      </c>
      <c r="O4" s="83" t="s">
        <v>446</v>
      </c>
      <c r="P4" s="83" t="s">
        <v>447</v>
      </c>
      <c r="Q4" s="83" t="s">
        <v>484</v>
      </c>
      <c r="R4" s="88" t="s">
        <v>462</v>
      </c>
      <c r="S4" s="88" t="s">
        <v>359</v>
      </c>
      <c r="T4" s="88" t="s">
        <v>613</v>
      </c>
      <c r="U4" s="82" t="s">
        <v>360</v>
      </c>
      <c r="V4" s="82" t="s">
        <v>361</v>
      </c>
      <c r="W4" s="82" t="s">
        <v>616</v>
      </c>
      <c r="X4" s="82" t="s">
        <v>362</v>
      </c>
      <c r="Y4" s="82" t="s">
        <v>363</v>
      </c>
      <c r="Z4" s="89" t="s">
        <v>617</v>
      </c>
    </row>
    <row r="5" spans="1:26" ht="6" customHeight="1" thickTop="1" x14ac:dyDescent="0.35"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</row>
    <row r="6" spans="1:26" x14ac:dyDescent="0.35">
      <c r="A6" s="548" t="s">
        <v>454</v>
      </c>
      <c r="B6" s="493" t="str">
        <f>'Goods and WorksPP'!C22</f>
        <v>BWW1-A</v>
      </c>
      <c r="C6" s="461" t="str">
        <f>'Goods and WorksPP'!D22</f>
        <v>Tunnel &amp; Transfer lines</v>
      </c>
      <c r="D6" s="533" t="str">
        <f>'Goods and WorksPP'!G22</f>
        <v>100% on fixed part</v>
      </c>
      <c r="E6" s="456">
        <f>'Goods and WorksPP'!H22</f>
        <v>0</v>
      </c>
      <c r="F6" s="536"/>
      <c r="G6" s="536"/>
      <c r="H6" s="537"/>
      <c r="I6" s="536"/>
      <c r="J6" s="494">
        <f>'Goods and WorksPP'!AN22</f>
        <v>0.9</v>
      </c>
      <c r="K6" s="536">
        <f>'Goods and WorksPP'!AJ22</f>
        <v>0</v>
      </c>
      <c r="L6" s="536">
        <f>K6</f>
        <v>0</v>
      </c>
      <c r="M6" s="456"/>
      <c r="N6" s="494">
        <f>1-J6</f>
        <v>9.9999999999999978E-2</v>
      </c>
      <c r="O6" s="536">
        <f>I6-K6</f>
        <v>0</v>
      </c>
      <c r="P6" s="409"/>
      <c r="Q6" s="538"/>
      <c r="R6" s="462"/>
      <c r="S6" s="462">
        <v>0</v>
      </c>
      <c r="T6" s="473">
        <f>I6-R6</f>
        <v>0</v>
      </c>
      <c r="U6" s="462">
        <f>'Goods and WorksPP'!AJ22</f>
        <v>0</v>
      </c>
      <c r="V6" s="462">
        <f>'Goods and WorksPP'!AK22</f>
        <v>0</v>
      </c>
      <c r="W6" s="473">
        <v>0</v>
      </c>
      <c r="X6" s="480">
        <f>R6-U6</f>
        <v>0</v>
      </c>
      <c r="Y6" s="480">
        <f>S6-V6</f>
        <v>0</v>
      </c>
      <c r="Z6" s="549">
        <f>T6-W6</f>
        <v>0</v>
      </c>
    </row>
    <row r="7" spans="1:26" x14ac:dyDescent="0.35">
      <c r="A7" s="548"/>
      <c r="B7" s="493">
        <f>'Goods and WorksPP'!C23</f>
        <v>0</v>
      </c>
      <c r="C7" s="461">
        <f>'Goods and WorksPP'!D23</f>
        <v>0</v>
      </c>
      <c r="D7" s="534">
        <f>'Goods and WorksPP'!G23</f>
        <v>0</v>
      </c>
      <c r="E7" s="456">
        <f>'Goods and WorksPP'!H23</f>
        <v>0</v>
      </c>
      <c r="F7" s="456"/>
      <c r="G7" s="456"/>
      <c r="H7" s="537"/>
      <c r="I7" s="536"/>
      <c r="J7" s="495"/>
      <c r="K7" s="536"/>
      <c r="L7" s="536"/>
      <c r="M7" s="456"/>
      <c r="N7" s="495"/>
      <c r="O7" s="536"/>
      <c r="P7" s="397"/>
      <c r="Q7" s="539"/>
      <c r="R7" s="462"/>
      <c r="S7" s="462">
        <f>'Goods and WorksPP'!AD23</f>
        <v>0</v>
      </c>
      <c r="T7" s="474"/>
      <c r="U7" s="462">
        <f>'Goods and WorksPP'!AJ23</f>
        <v>0</v>
      </c>
      <c r="V7" s="462">
        <f>'Goods and WorksPP'!AK23</f>
        <v>0</v>
      </c>
      <c r="W7" s="474"/>
      <c r="X7" s="481">
        <f>'Goods and WorksPP'!AP23</f>
        <v>0</v>
      </c>
      <c r="Y7" s="481">
        <f>'Goods and WorksPP'!AQ23</f>
        <v>0</v>
      </c>
      <c r="Z7" s="549">
        <f>'Goods and WorksPP'!AR23</f>
        <v>0</v>
      </c>
    </row>
    <row r="8" spans="1:26" x14ac:dyDescent="0.35">
      <c r="A8" s="548"/>
      <c r="B8" s="493">
        <f>'Goods and WorksPP'!C24</f>
        <v>0</v>
      </c>
      <c r="C8" s="461">
        <f>'Goods and WorksPP'!D24</f>
        <v>0</v>
      </c>
      <c r="D8" s="535">
        <f>'Goods and WorksPP'!G24</f>
        <v>0</v>
      </c>
      <c r="E8" s="456">
        <f>'Goods and WorksPP'!H24</f>
        <v>0</v>
      </c>
      <c r="F8" s="456"/>
      <c r="G8" s="456"/>
      <c r="H8" s="537"/>
      <c r="I8" s="536"/>
      <c r="J8" s="496"/>
      <c r="K8" s="536"/>
      <c r="L8" s="536"/>
      <c r="M8" s="456"/>
      <c r="N8" s="496"/>
      <c r="O8" s="536"/>
      <c r="P8" s="397"/>
      <c r="Q8" s="540"/>
      <c r="R8" s="462"/>
      <c r="S8" s="462">
        <f>'Goods and WorksPP'!AD24</f>
        <v>0</v>
      </c>
      <c r="T8" s="475"/>
      <c r="U8" s="462">
        <f>'Goods and WorksPP'!AJ24</f>
        <v>0</v>
      </c>
      <c r="V8" s="462">
        <f>'Goods and WorksPP'!AK24</f>
        <v>0</v>
      </c>
      <c r="W8" s="475"/>
      <c r="X8" s="482">
        <f>'Goods and WorksPP'!AP24</f>
        <v>0</v>
      </c>
      <c r="Y8" s="482">
        <f>'Goods and WorksPP'!AQ24</f>
        <v>0</v>
      </c>
      <c r="Z8" s="549">
        <f>'Goods and WorksPP'!AR24</f>
        <v>0</v>
      </c>
    </row>
    <row r="9" spans="1:26" ht="12.75" customHeight="1" x14ac:dyDescent="0.35">
      <c r="A9" s="548"/>
      <c r="B9" s="461" t="str">
        <f>'Consulting ServicesPP'!C6</f>
        <v>BWC1-A</v>
      </c>
      <c r="C9" s="461" t="s">
        <v>165</v>
      </c>
      <c r="D9" s="456">
        <v>1</v>
      </c>
      <c r="E9" s="456">
        <f>1-D9</f>
        <v>0</v>
      </c>
      <c r="F9" s="536"/>
      <c r="G9" s="536"/>
      <c r="H9" s="537"/>
      <c r="I9" s="536"/>
      <c r="J9" s="456">
        <v>0</v>
      </c>
      <c r="K9" s="456"/>
      <c r="L9" s="456"/>
      <c r="M9" s="456"/>
      <c r="N9" s="494"/>
      <c r="O9" s="536">
        <f>I9-K9</f>
        <v>0</v>
      </c>
      <c r="P9" s="397"/>
      <c r="Q9" s="538"/>
      <c r="R9" s="462"/>
      <c r="S9" s="462">
        <f>I9-R9</f>
        <v>0</v>
      </c>
      <c r="T9" s="473"/>
      <c r="U9" s="462">
        <f>'Consulting ServicesPP'!AH6</f>
        <v>0</v>
      </c>
      <c r="V9" s="462">
        <f>'Consulting ServicesPP'!AI6</f>
        <v>0</v>
      </c>
      <c r="W9" s="402"/>
      <c r="X9" s="480">
        <f>R9-U9</f>
        <v>0</v>
      </c>
      <c r="Y9" s="480">
        <f>S9-V9</f>
        <v>0</v>
      </c>
      <c r="Z9" s="549">
        <f>T9-W9</f>
        <v>0</v>
      </c>
    </row>
    <row r="10" spans="1:26" x14ac:dyDescent="0.35">
      <c r="A10" s="548"/>
      <c r="B10" s="461" t="e">
        <f>'Consulting ServicesPP'!#REF!</f>
        <v>#REF!</v>
      </c>
      <c r="C10" s="461"/>
      <c r="D10" s="456"/>
      <c r="E10" s="456"/>
      <c r="F10" s="456"/>
      <c r="G10" s="456"/>
      <c r="H10" s="537"/>
      <c r="I10" s="456"/>
      <c r="J10" s="456"/>
      <c r="K10" s="456"/>
      <c r="L10" s="456"/>
      <c r="M10" s="456"/>
      <c r="N10" s="495"/>
      <c r="O10" s="536"/>
      <c r="P10" s="397"/>
      <c r="Q10" s="539"/>
      <c r="R10" s="462"/>
      <c r="S10" s="462">
        <f>'Goods and WorksPP'!AD26</f>
        <v>0</v>
      </c>
      <c r="T10" s="474"/>
      <c r="U10" s="462"/>
      <c r="V10" s="462"/>
      <c r="W10" s="403"/>
      <c r="X10" s="481">
        <f>'Goods and WorksPP'!AP26</f>
        <v>0</v>
      </c>
      <c r="Y10" s="481">
        <f>'Goods and WorksPP'!AQ26</f>
        <v>0</v>
      </c>
      <c r="Z10" s="549">
        <f>'Goods and WorksPP'!AR26</f>
        <v>0</v>
      </c>
    </row>
    <row r="11" spans="1:26" x14ac:dyDescent="0.35">
      <c r="A11" s="548"/>
      <c r="B11" s="461" t="e">
        <f>'Consulting ServicesPP'!#REF!</f>
        <v>#REF!</v>
      </c>
      <c r="C11" s="461"/>
      <c r="D11" s="456"/>
      <c r="E11" s="456"/>
      <c r="F11" s="456"/>
      <c r="G11" s="456"/>
      <c r="H11" s="537"/>
      <c r="I11" s="456"/>
      <c r="J11" s="456"/>
      <c r="K11" s="456"/>
      <c r="L11" s="456"/>
      <c r="M11" s="456"/>
      <c r="N11" s="496"/>
      <c r="O11" s="536"/>
      <c r="P11" s="397"/>
      <c r="Q11" s="540"/>
      <c r="R11" s="462"/>
      <c r="S11" s="462">
        <f>'Goods and WorksPP'!AD27</f>
        <v>0</v>
      </c>
      <c r="T11" s="475"/>
      <c r="U11" s="462"/>
      <c r="V11" s="462"/>
      <c r="W11" s="404"/>
      <c r="X11" s="482">
        <f>'Goods and WorksPP'!AP27</f>
        <v>0</v>
      </c>
      <c r="Y11" s="482">
        <f>'Goods and WorksPP'!AQ27</f>
        <v>0</v>
      </c>
      <c r="Z11" s="549">
        <f>'Goods and WorksPP'!AR27</f>
        <v>0</v>
      </c>
    </row>
    <row r="12" spans="1:26" x14ac:dyDescent="0.35">
      <c r="A12" s="548"/>
      <c r="B12" s="493" t="str">
        <f>'Goods and WorksPP'!C28</f>
        <v>BWW1-B</v>
      </c>
      <c r="C12" s="461" t="str">
        <f>'Goods and WorksPP'!D28</f>
        <v>Wardanieh
Water Treatment Plant</v>
      </c>
      <c r="D12" s="456">
        <f>'Goods and WorksPP'!G28</f>
        <v>0.05</v>
      </c>
      <c r="E12" s="456">
        <f>'Goods and WorksPP'!H28</f>
        <v>0.95</v>
      </c>
      <c r="F12" s="536"/>
      <c r="G12" s="536"/>
      <c r="H12" s="508"/>
      <c r="I12" s="536"/>
      <c r="J12" s="494">
        <v>0</v>
      </c>
      <c r="K12" s="473">
        <f>'Goods and WorksPP'!AI28</f>
        <v>0</v>
      </c>
      <c r="L12" s="473">
        <f>K12</f>
        <v>0</v>
      </c>
      <c r="M12" s="494"/>
      <c r="N12" s="494"/>
      <c r="O12" s="536">
        <f>I12-K12</f>
        <v>0</v>
      </c>
      <c r="P12" s="409"/>
      <c r="Q12" s="538"/>
      <c r="R12" s="462"/>
      <c r="S12" s="462">
        <f>I12-R12</f>
        <v>0</v>
      </c>
      <c r="T12" s="473"/>
      <c r="U12" s="462">
        <f>'Goods and WorksPP'!AJ28</f>
        <v>0</v>
      </c>
      <c r="V12" s="462">
        <f>'Goods and WorksPP'!AK28</f>
        <v>0</v>
      </c>
      <c r="W12" s="402"/>
      <c r="X12" s="480">
        <f>R12-U12</f>
        <v>0</v>
      </c>
      <c r="Y12" s="480">
        <f>S12-V12</f>
        <v>0</v>
      </c>
      <c r="Z12" s="549">
        <v>0</v>
      </c>
    </row>
    <row r="13" spans="1:26" x14ac:dyDescent="0.35">
      <c r="A13" s="548"/>
      <c r="B13" s="493">
        <f>'Goods and WorksPP'!C29</f>
        <v>0</v>
      </c>
      <c r="C13" s="461">
        <f>'Goods and WorksPP'!D29</f>
        <v>0</v>
      </c>
      <c r="D13" s="456">
        <f>'Goods and WorksPP'!G29</f>
        <v>0</v>
      </c>
      <c r="E13" s="456">
        <f>'Goods and WorksPP'!H29</f>
        <v>0</v>
      </c>
      <c r="F13" s="456"/>
      <c r="G13" s="456"/>
      <c r="H13" s="508"/>
      <c r="I13" s="456"/>
      <c r="J13" s="495"/>
      <c r="K13" s="474"/>
      <c r="L13" s="474"/>
      <c r="M13" s="495"/>
      <c r="N13" s="495"/>
      <c r="O13" s="536"/>
      <c r="P13" s="397"/>
      <c r="Q13" s="539"/>
      <c r="R13" s="462"/>
      <c r="S13" s="462">
        <f>'Goods and WorksPP'!AD29</f>
        <v>0</v>
      </c>
      <c r="T13" s="474"/>
      <c r="U13" s="462">
        <f>'Goods and WorksPP'!AJ29</f>
        <v>0</v>
      </c>
      <c r="V13" s="462">
        <f>'Goods and WorksPP'!AK29</f>
        <v>0</v>
      </c>
      <c r="W13" s="403"/>
      <c r="X13" s="481">
        <f>'Goods and WorksPP'!AP29</f>
        <v>0</v>
      </c>
      <c r="Y13" s="481">
        <f>'Goods and WorksPP'!AQ29</f>
        <v>0</v>
      </c>
      <c r="Z13" s="549">
        <f>'Goods and WorksPP'!AR29</f>
        <v>0</v>
      </c>
    </row>
    <row r="14" spans="1:26" x14ac:dyDescent="0.35">
      <c r="A14" s="548"/>
      <c r="B14" s="493">
        <f>'Goods and WorksPP'!C30</f>
        <v>0</v>
      </c>
      <c r="C14" s="461">
        <f>'Goods and WorksPP'!D30</f>
        <v>0</v>
      </c>
      <c r="D14" s="456">
        <f>'Goods and WorksPP'!G30</f>
        <v>0</v>
      </c>
      <c r="E14" s="456">
        <f>'Goods and WorksPP'!H30</f>
        <v>0</v>
      </c>
      <c r="F14" s="456"/>
      <c r="G14" s="456"/>
      <c r="H14" s="508"/>
      <c r="I14" s="456"/>
      <c r="J14" s="496"/>
      <c r="K14" s="475"/>
      <c r="L14" s="475"/>
      <c r="M14" s="496"/>
      <c r="N14" s="496"/>
      <c r="O14" s="536"/>
      <c r="P14" s="397"/>
      <c r="Q14" s="540"/>
      <c r="R14" s="462"/>
      <c r="S14" s="462">
        <f>'Goods and WorksPP'!AD30</f>
        <v>0</v>
      </c>
      <c r="T14" s="475"/>
      <c r="U14" s="462">
        <f>'Goods and WorksPP'!AJ30</f>
        <v>0</v>
      </c>
      <c r="V14" s="462">
        <f>'Goods and WorksPP'!AK30</f>
        <v>0</v>
      </c>
      <c r="W14" s="404"/>
      <c r="X14" s="482">
        <f>'Goods and WorksPP'!AP30</f>
        <v>0</v>
      </c>
      <c r="Y14" s="482">
        <f>'Goods and WorksPP'!AQ30</f>
        <v>0</v>
      </c>
      <c r="Z14" s="549">
        <f>'Goods and WorksPP'!AR30</f>
        <v>0</v>
      </c>
    </row>
    <row r="15" spans="1:26" ht="12.75" customHeight="1" x14ac:dyDescent="0.35">
      <c r="A15" s="548"/>
      <c r="B15" s="461" t="str">
        <f>'Consulting ServicesPP'!C9</f>
        <v>BWC1-B</v>
      </c>
      <c r="C15" s="461" t="s">
        <v>167</v>
      </c>
      <c r="D15" s="456">
        <v>0.05</v>
      </c>
      <c r="E15" s="456">
        <f>1-D15</f>
        <v>0.95</v>
      </c>
      <c r="F15" s="536"/>
      <c r="G15" s="536"/>
      <c r="H15" s="546"/>
      <c r="I15" s="546"/>
      <c r="J15" s="456">
        <v>0</v>
      </c>
      <c r="K15" s="456"/>
      <c r="L15" s="456"/>
      <c r="M15" s="456"/>
      <c r="N15" s="456"/>
      <c r="O15" s="536">
        <f>I15-K15</f>
        <v>0</v>
      </c>
      <c r="P15" s="456"/>
      <c r="Q15" s="538"/>
      <c r="R15" s="462"/>
      <c r="S15" s="462">
        <f>I15-R15</f>
        <v>0</v>
      </c>
      <c r="T15" s="473"/>
      <c r="U15" s="462">
        <f>'Consulting ServicesPP'!AH9</f>
        <v>0</v>
      </c>
      <c r="V15" s="462">
        <f>'Consulting ServicesPP'!AI9</f>
        <v>0</v>
      </c>
      <c r="W15" s="402"/>
      <c r="X15" s="480">
        <f>R15-U15</f>
        <v>0</v>
      </c>
      <c r="Y15" s="480">
        <f>S15-V15</f>
        <v>0</v>
      </c>
      <c r="Z15" s="549">
        <v>0</v>
      </c>
    </row>
    <row r="16" spans="1:26" x14ac:dyDescent="0.35">
      <c r="A16" s="548"/>
      <c r="B16" s="461" t="e">
        <f>'Consulting ServicesPP'!#REF!</f>
        <v>#REF!</v>
      </c>
      <c r="C16" s="461"/>
      <c r="D16" s="456"/>
      <c r="E16" s="456"/>
      <c r="F16" s="456"/>
      <c r="G16" s="456"/>
      <c r="H16" s="547"/>
      <c r="I16" s="547"/>
      <c r="J16" s="456"/>
      <c r="K16" s="456"/>
      <c r="L16" s="456"/>
      <c r="M16" s="456"/>
      <c r="N16" s="456"/>
      <c r="O16" s="536"/>
      <c r="P16" s="456"/>
      <c r="Q16" s="539"/>
      <c r="R16" s="462"/>
      <c r="S16" s="462">
        <f>'Goods and WorksPP'!AD32</f>
        <v>0</v>
      </c>
      <c r="T16" s="474"/>
      <c r="U16" s="462"/>
      <c r="V16" s="462"/>
      <c r="W16" s="403"/>
      <c r="X16" s="481">
        <f>'Goods and WorksPP'!AP32</f>
        <v>0</v>
      </c>
      <c r="Y16" s="481">
        <f>'Goods and WorksPP'!AQ32</f>
        <v>0</v>
      </c>
      <c r="Z16" s="549">
        <f>'Goods and WorksPP'!AR32</f>
        <v>0</v>
      </c>
    </row>
    <row r="17" spans="1:26" x14ac:dyDescent="0.35">
      <c r="A17" s="548"/>
      <c r="B17" s="461" t="e">
        <f>'Consulting ServicesPP'!#REF!</f>
        <v>#REF!</v>
      </c>
      <c r="C17" s="461"/>
      <c r="D17" s="456"/>
      <c r="E17" s="456"/>
      <c r="F17" s="456"/>
      <c r="G17" s="456"/>
      <c r="H17" s="547"/>
      <c r="I17" s="547"/>
      <c r="J17" s="456"/>
      <c r="K17" s="456"/>
      <c r="L17" s="456"/>
      <c r="M17" s="456"/>
      <c r="N17" s="456"/>
      <c r="O17" s="536"/>
      <c r="P17" s="456"/>
      <c r="Q17" s="540"/>
      <c r="R17" s="462"/>
      <c r="S17" s="462">
        <f>'Goods and WorksPP'!AD33</f>
        <v>0</v>
      </c>
      <c r="T17" s="475"/>
      <c r="U17" s="462"/>
      <c r="V17" s="462"/>
      <c r="W17" s="404"/>
      <c r="X17" s="482">
        <f>'Goods and WorksPP'!AP33</f>
        <v>0</v>
      </c>
      <c r="Y17" s="482">
        <f>'Goods and WorksPP'!AQ33</f>
        <v>0</v>
      </c>
      <c r="Z17" s="549">
        <f>'Goods and WorksPP'!AR33</f>
        <v>0</v>
      </c>
    </row>
    <row r="18" spans="1:26" x14ac:dyDescent="0.35">
      <c r="A18" s="548"/>
      <c r="B18" s="493" t="str">
        <f>'Goods and WorksPP'!C25</f>
        <v>BWW1-C</v>
      </c>
      <c r="C18" s="461" t="str">
        <f>'Goods and WorksPP'!D25</f>
        <v>Reservoirs &amp;
Transmission lines</v>
      </c>
      <c r="D18" s="456">
        <f>'Goods and WorksPP'!G25</f>
        <v>1</v>
      </c>
      <c r="E18" s="456">
        <f>'Goods and WorksPP'!H25</f>
        <v>0</v>
      </c>
      <c r="F18" s="536"/>
      <c r="G18" s="536"/>
      <c r="H18" s="546"/>
      <c r="I18" s="546"/>
      <c r="J18" s="494">
        <v>0</v>
      </c>
      <c r="K18" s="473"/>
      <c r="L18" s="473"/>
      <c r="M18" s="456"/>
      <c r="N18" s="494"/>
      <c r="O18" s="536">
        <f>I18-K18</f>
        <v>0</v>
      </c>
      <c r="P18" s="409"/>
      <c r="Q18" s="538"/>
      <c r="R18" s="462"/>
      <c r="S18" s="462">
        <f>I18-R18</f>
        <v>0</v>
      </c>
      <c r="T18" s="473"/>
      <c r="U18" s="462">
        <f>'Goods and WorksPP'!AJ25</f>
        <v>0</v>
      </c>
      <c r="V18" s="462">
        <f>'Goods and WorksPP'!AK25</f>
        <v>0</v>
      </c>
      <c r="W18" s="402"/>
      <c r="X18" s="480">
        <f>R18-U18</f>
        <v>0</v>
      </c>
      <c r="Y18" s="480">
        <f>S18-V18</f>
        <v>0</v>
      </c>
      <c r="Z18" s="549">
        <f>T18-W18</f>
        <v>0</v>
      </c>
    </row>
    <row r="19" spans="1:26" x14ac:dyDescent="0.35">
      <c r="A19" s="548"/>
      <c r="B19" s="493">
        <f>'Goods and WorksPP'!C26</f>
        <v>0</v>
      </c>
      <c r="C19" s="461">
        <f>'Goods and WorksPP'!D26</f>
        <v>0</v>
      </c>
      <c r="D19" s="456">
        <f>'Goods and WorksPP'!G26</f>
        <v>0</v>
      </c>
      <c r="E19" s="456">
        <f>'Goods and WorksPP'!H26</f>
        <v>0</v>
      </c>
      <c r="F19" s="456"/>
      <c r="G19" s="456"/>
      <c r="H19" s="546"/>
      <c r="I19" s="546"/>
      <c r="J19" s="495"/>
      <c r="K19" s="474"/>
      <c r="L19" s="474"/>
      <c r="M19" s="456"/>
      <c r="N19" s="495"/>
      <c r="O19" s="536"/>
      <c r="P19" s="397"/>
      <c r="Q19" s="539"/>
      <c r="R19" s="462"/>
      <c r="S19" s="462">
        <f>'Goods and WorksPP'!AD41</f>
        <v>0</v>
      </c>
      <c r="T19" s="474"/>
      <c r="U19" s="462">
        <f>'Goods and WorksPP'!AJ26</f>
        <v>0</v>
      </c>
      <c r="V19" s="462">
        <f>'Goods and WorksPP'!AK26</f>
        <v>0</v>
      </c>
      <c r="W19" s="403"/>
      <c r="X19" s="481">
        <f>'Goods and WorksPP'!AP41</f>
        <v>0</v>
      </c>
      <c r="Y19" s="481">
        <f>'Goods and WorksPP'!AQ41</f>
        <v>0</v>
      </c>
      <c r="Z19" s="549">
        <f>'Goods and WorksPP'!AR35</f>
        <v>0</v>
      </c>
    </row>
    <row r="20" spans="1:26" x14ac:dyDescent="0.35">
      <c r="A20" s="548"/>
      <c r="B20" s="493">
        <f>'Goods and WorksPP'!C27</f>
        <v>0</v>
      </c>
      <c r="C20" s="461">
        <f>'Goods and WorksPP'!D27</f>
        <v>0</v>
      </c>
      <c r="D20" s="456">
        <f>'Goods and WorksPP'!G27</f>
        <v>0</v>
      </c>
      <c r="E20" s="456">
        <f>'Goods and WorksPP'!H27</f>
        <v>0</v>
      </c>
      <c r="F20" s="456"/>
      <c r="G20" s="456"/>
      <c r="H20" s="546"/>
      <c r="I20" s="546"/>
      <c r="J20" s="496"/>
      <c r="K20" s="475"/>
      <c r="L20" s="475"/>
      <c r="M20" s="456"/>
      <c r="N20" s="496"/>
      <c r="O20" s="536"/>
      <c r="P20" s="397"/>
      <c r="Q20" s="540"/>
      <c r="R20" s="462"/>
      <c r="S20" s="462">
        <f>'Goods and WorksPP'!AD42</f>
        <v>0</v>
      </c>
      <c r="T20" s="475"/>
      <c r="U20" s="462">
        <f>'Goods and WorksPP'!AJ27</f>
        <v>0</v>
      </c>
      <c r="V20" s="462">
        <f>'Goods and WorksPP'!AK27</f>
        <v>0</v>
      </c>
      <c r="W20" s="404"/>
      <c r="X20" s="482">
        <f>'Goods and WorksPP'!AP42</f>
        <v>0</v>
      </c>
      <c r="Y20" s="482">
        <f>'Goods and WorksPP'!AQ42</f>
        <v>0</v>
      </c>
      <c r="Z20" s="549">
        <f>'Goods and WorksPP'!AR36</f>
        <v>0</v>
      </c>
    </row>
    <row r="21" spans="1:26" ht="12.75" customHeight="1" x14ac:dyDescent="0.35">
      <c r="A21" s="548"/>
      <c r="B21" s="461" t="str">
        <f>'Consulting ServicesPP'!C12</f>
        <v>BWC1-C</v>
      </c>
      <c r="C21" s="461" t="s">
        <v>166</v>
      </c>
      <c r="D21" s="456">
        <v>1</v>
      </c>
      <c r="E21" s="456">
        <f>1-D21</f>
        <v>0</v>
      </c>
      <c r="F21" s="536"/>
      <c r="G21" s="536"/>
      <c r="H21" s="546"/>
      <c r="I21" s="546"/>
      <c r="J21" s="456">
        <v>0</v>
      </c>
      <c r="K21" s="456"/>
      <c r="L21" s="456"/>
      <c r="M21" s="456"/>
      <c r="N21" s="456"/>
      <c r="O21" s="536">
        <f>I21-K21</f>
        <v>0</v>
      </c>
      <c r="P21" s="456"/>
      <c r="Q21" s="538"/>
      <c r="R21" s="462"/>
      <c r="S21" s="462">
        <f>I21-R21</f>
        <v>0</v>
      </c>
      <c r="T21" s="473"/>
      <c r="U21" s="462">
        <f>'Consulting ServicesPP'!AH12</f>
        <v>0</v>
      </c>
      <c r="V21" s="462">
        <f>'Consulting ServicesPP'!AI12</f>
        <v>0</v>
      </c>
      <c r="W21" s="402"/>
      <c r="X21" s="480">
        <f>R21-U21</f>
        <v>0</v>
      </c>
      <c r="Y21" s="480">
        <f>S21-V21</f>
        <v>0</v>
      </c>
      <c r="Z21" s="549">
        <f>T21-W21</f>
        <v>0</v>
      </c>
    </row>
    <row r="22" spans="1:26" x14ac:dyDescent="0.35">
      <c r="A22" s="548"/>
      <c r="B22" s="461">
        <f>'Consulting ServicesPP'!B38</f>
        <v>0</v>
      </c>
      <c r="C22" s="461"/>
      <c r="D22" s="456"/>
      <c r="E22" s="456"/>
      <c r="F22" s="456"/>
      <c r="G22" s="456"/>
      <c r="H22" s="547"/>
      <c r="I22" s="547"/>
      <c r="J22" s="456"/>
      <c r="K22" s="456"/>
      <c r="L22" s="456"/>
      <c r="M22" s="456"/>
      <c r="N22" s="456"/>
      <c r="O22" s="536"/>
      <c r="P22" s="456"/>
      <c r="Q22" s="539"/>
      <c r="R22" s="462"/>
      <c r="S22" s="462">
        <f>'Goods and WorksPP'!AD44</f>
        <v>0</v>
      </c>
      <c r="T22" s="474"/>
      <c r="U22" s="462"/>
      <c r="V22" s="462"/>
      <c r="W22" s="403"/>
      <c r="X22" s="481">
        <f>'Goods and WorksPP'!AP44</f>
        <v>0</v>
      </c>
      <c r="Y22" s="481">
        <f>'Goods and WorksPP'!AQ44</f>
        <v>0</v>
      </c>
      <c r="Z22" s="549">
        <f>'Goods and WorksPP'!AR38</f>
        <v>0</v>
      </c>
    </row>
    <row r="23" spans="1:26" x14ac:dyDescent="0.35">
      <c r="A23" s="548"/>
      <c r="B23" s="461">
        <f>'Consulting ServicesPP'!B39</f>
        <v>0</v>
      </c>
      <c r="C23" s="461"/>
      <c r="D23" s="456"/>
      <c r="E23" s="456"/>
      <c r="F23" s="456"/>
      <c r="G23" s="456"/>
      <c r="H23" s="547"/>
      <c r="I23" s="547"/>
      <c r="J23" s="456"/>
      <c r="K23" s="456"/>
      <c r="L23" s="456"/>
      <c r="M23" s="456"/>
      <c r="N23" s="456"/>
      <c r="O23" s="536"/>
      <c r="P23" s="456"/>
      <c r="Q23" s="540"/>
      <c r="R23" s="462"/>
      <c r="S23" s="462">
        <f>'Goods and WorksPP'!AD45</f>
        <v>0</v>
      </c>
      <c r="T23" s="475"/>
      <c r="U23" s="462"/>
      <c r="V23" s="462"/>
      <c r="W23" s="404"/>
      <c r="X23" s="482">
        <f>'Goods and WorksPP'!AP45</f>
        <v>0</v>
      </c>
      <c r="Y23" s="482">
        <f>'Goods and WorksPP'!AQ45</f>
        <v>0</v>
      </c>
      <c r="Z23" s="549">
        <f>'Goods and WorksPP'!AR39</f>
        <v>0</v>
      </c>
    </row>
    <row r="24" spans="1:26" x14ac:dyDescent="0.35">
      <c r="A24" s="548"/>
      <c r="B24" s="405" t="s">
        <v>455</v>
      </c>
      <c r="C24" s="398" t="s">
        <v>377</v>
      </c>
      <c r="D24" s="110">
        <v>1</v>
      </c>
      <c r="E24" s="397"/>
      <c r="F24" s="109"/>
      <c r="G24" s="109"/>
      <c r="H24" s="122">
        <f>PMUPP!R139</f>
        <v>0</v>
      </c>
      <c r="I24" s="122">
        <f>H24</f>
        <v>0</v>
      </c>
      <c r="J24" s="110"/>
      <c r="K24" s="77">
        <f>SUM(PMUPP!V123:V136)</f>
        <v>0</v>
      </c>
      <c r="L24" s="110"/>
      <c r="M24" s="397"/>
      <c r="N24" s="110"/>
      <c r="O24" s="109">
        <f>I24-K24</f>
        <v>0</v>
      </c>
      <c r="P24" s="110"/>
      <c r="Q24" s="110"/>
      <c r="R24" s="77"/>
      <c r="S24" s="77"/>
      <c r="T24" s="77"/>
      <c r="U24" s="77">
        <f>SUM(PMUPP!W123:W136)</f>
        <v>0</v>
      </c>
      <c r="V24" s="77">
        <f>SUM(PMUPP!X123:X126)+PMUPP!X131</f>
        <v>0</v>
      </c>
      <c r="W24" s="77"/>
      <c r="X24" s="77">
        <f>R24-U24</f>
        <v>0</v>
      </c>
      <c r="Y24" s="77">
        <f>S24-V24</f>
        <v>0</v>
      </c>
      <c r="Z24" s="78">
        <f>T24-W24</f>
        <v>0</v>
      </c>
    </row>
    <row r="25" spans="1:26" s="128" customFormat="1" ht="12.75" x14ac:dyDescent="0.35">
      <c r="A25" s="548"/>
      <c r="B25" s="541" t="s">
        <v>458</v>
      </c>
      <c r="C25" s="541"/>
      <c r="D25" s="541"/>
      <c r="E25" s="541"/>
      <c r="F25" s="124"/>
      <c r="G25" s="124"/>
      <c r="H25" s="124">
        <f>SUM(H6:H24)</f>
        <v>0</v>
      </c>
      <c r="I25" s="124">
        <f>SUM(I6:I24)</f>
        <v>0</v>
      </c>
      <c r="J25" s="125"/>
      <c r="K25" s="124">
        <f>SUM(K6:K24)</f>
        <v>0</v>
      </c>
      <c r="L25" s="125"/>
      <c r="M25" s="126"/>
      <c r="N25" s="125"/>
      <c r="O25" s="124">
        <f>SUM(O6:O24)</f>
        <v>0</v>
      </c>
      <c r="P25" s="125"/>
      <c r="Q25" s="125"/>
      <c r="R25" s="124"/>
      <c r="S25" s="124">
        <f t="shared" ref="S25:Y25" si="0">SUM(S6:S24)</f>
        <v>0</v>
      </c>
      <c r="T25" s="124">
        <f t="shared" si="0"/>
        <v>0</v>
      </c>
      <c r="U25" s="124">
        <f t="shared" si="0"/>
        <v>0</v>
      </c>
      <c r="V25" s="124">
        <f t="shared" si="0"/>
        <v>0</v>
      </c>
      <c r="W25" s="124">
        <f t="shared" si="0"/>
        <v>0</v>
      </c>
      <c r="X25" s="124">
        <f t="shared" si="0"/>
        <v>0</v>
      </c>
      <c r="Y25" s="124">
        <f t="shared" si="0"/>
        <v>0</v>
      </c>
      <c r="Z25" s="127">
        <f>SUM(Z6:Z24)</f>
        <v>0</v>
      </c>
    </row>
    <row r="26" spans="1:26" ht="7.15" customHeight="1" x14ac:dyDescent="0.35"/>
    <row r="27" spans="1:26" ht="12.75" customHeight="1" x14ac:dyDescent="0.35">
      <c r="A27" s="497" t="s">
        <v>456</v>
      </c>
      <c r="B27" s="493" t="str">
        <f>'Goods and WorksPP'!C6</f>
        <v>BWW2-1</v>
      </c>
      <c r="C27" s="461" t="str">
        <f>'Goods and WorksPP'!D6</f>
        <v>Distribution Networks,
Pumping Stations &amp; Reservoirs – Zone A</v>
      </c>
      <c r="D27" s="456">
        <f>'Goods and WorksPP'!G6</f>
        <v>2.5000000000000001E-2</v>
      </c>
      <c r="E27" s="456">
        <f>'Goods and WorksPP'!H6</f>
        <v>0.97499999999999998</v>
      </c>
      <c r="F27" s="473"/>
      <c r="G27" s="473">
        <f>SUM(F27:F38)</f>
        <v>0</v>
      </c>
      <c r="H27" s="537"/>
      <c r="I27" s="473">
        <f>H27+H30+H33+H36</f>
        <v>0</v>
      </c>
      <c r="J27" s="494">
        <f>'Goods and WorksPP'!AN6</f>
        <v>1</v>
      </c>
      <c r="K27" s="473">
        <f>'Goods and WorksPP'!AI6</f>
        <v>0</v>
      </c>
      <c r="L27" s="473">
        <f>K27+K30+K33+K36</f>
        <v>0</v>
      </c>
      <c r="M27" s="494"/>
      <c r="N27" s="494">
        <f>1-J27</f>
        <v>0</v>
      </c>
      <c r="O27" s="473">
        <f>H27-K27</f>
        <v>0</v>
      </c>
      <c r="P27" s="473">
        <f>O27+O30+O33+O36</f>
        <v>0</v>
      </c>
      <c r="Q27" s="494"/>
      <c r="R27" s="462">
        <f>'Goods and WorksPP'!AC6</f>
        <v>0</v>
      </c>
      <c r="S27" s="462">
        <f>'Goods and WorksPP'!AD6</f>
        <v>0</v>
      </c>
      <c r="T27" s="473"/>
      <c r="U27" s="462">
        <f>'Goods and WorksPP'!AJ6</f>
        <v>0</v>
      </c>
      <c r="V27" s="462">
        <f>'Goods and WorksPP'!AK6</f>
        <v>0</v>
      </c>
      <c r="W27" s="402"/>
      <c r="X27" s="480">
        <f>'Goods and WorksPP'!AP6</f>
        <v>0</v>
      </c>
      <c r="Y27" s="480">
        <f>'Goods and WorksPP'!AQ6</f>
        <v>0</v>
      </c>
      <c r="Z27" s="549">
        <v>0</v>
      </c>
    </row>
    <row r="28" spans="1:26" x14ac:dyDescent="0.35">
      <c r="A28" s="498"/>
      <c r="B28" s="493">
        <f>'Goods and WorksPP'!C7</f>
        <v>0</v>
      </c>
      <c r="C28" s="461">
        <f>'Goods and WorksPP'!D7</f>
        <v>0</v>
      </c>
      <c r="D28" s="456">
        <f>'Goods and WorksPP'!G7</f>
        <v>0</v>
      </c>
      <c r="E28" s="456">
        <f>'Goods and WorksPP'!H7</f>
        <v>0</v>
      </c>
      <c r="F28" s="495"/>
      <c r="G28" s="474"/>
      <c r="H28" s="537"/>
      <c r="I28" s="474"/>
      <c r="J28" s="495"/>
      <c r="K28" s="474"/>
      <c r="L28" s="474"/>
      <c r="M28" s="495"/>
      <c r="N28" s="495"/>
      <c r="O28" s="474"/>
      <c r="P28" s="474"/>
      <c r="Q28" s="495"/>
      <c r="R28" s="462">
        <f>'Goods and WorksPP'!AC7</f>
        <v>0</v>
      </c>
      <c r="S28" s="462">
        <f>'Goods and WorksPP'!AD7</f>
        <v>0</v>
      </c>
      <c r="T28" s="474"/>
      <c r="U28" s="462">
        <f>'Goods and WorksPP'!AJ7</f>
        <v>0</v>
      </c>
      <c r="V28" s="462">
        <f>'Goods and WorksPP'!AK7</f>
        <v>0</v>
      </c>
      <c r="W28" s="403"/>
      <c r="X28" s="481">
        <f>'Goods and WorksPP'!AP7</f>
        <v>0</v>
      </c>
      <c r="Y28" s="481">
        <f>'Goods and WorksPP'!AQ7</f>
        <v>0</v>
      </c>
      <c r="Z28" s="549">
        <f>'Goods and WorksPP'!AR7</f>
        <v>0</v>
      </c>
    </row>
    <row r="29" spans="1:26" x14ac:dyDescent="0.35">
      <c r="A29" s="498"/>
      <c r="B29" s="493">
        <f>'Goods and WorksPP'!C9</f>
        <v>0</v>
      </c>
      <c r="C29" s="461">
        <f>'Goods and WorksPP'!D9</f>
        <v>0</v>
      </c>
      <c r="D29" s="456">
        <f>'Goods and WorksPP'!G9</f>
        <v>0</v>
      </c>
      <c r="E29" s="456">
        <f>'Goods and WorksPP'!H9</f>
        <v>0</v>
      </c>
      <c r="F29" s="496"/>
      <c r="G29" s="474"/>
      <c r="H29" s="537"/>
      <c r="I29" s="474"/>
      <c r="J29" s="496"/>
      <c r="K29" s="475"/>
      <c r="L29" s="474"/>
      <c r="M29" s="495"/>
      <c r="N29" s="496"/>
      <c r="O29" s="475"/>
      <c r="P29" s="474"/>
      <c r="Q29" s="495"/>
      <c r="R29" s="462">
        <f>'Goods and WorksPP'!AC9</f>
        <v>0</v>
      </c>
      <c r="S29" s="462">
        <f>'Goods and WorksPP'!AD9</f>
        <v>0</v>
      </c>
      <c r="T29" s="475"/>
      <c r="U29" s="462">
        <f>'Goods and WorksPP'!AJ9</f>
        <v>0</v>
      </c>
      <c r="V29" s="462">
        <f>'Goods and WorksPP'!AK9</f>
        <v>0</v>
      </c>
      <c r="W29" s="404"/>
      <c r="X29" s="482">
        <f>'Goods and WorksPP'!AP9</f>
        <v>0</v>
      </c>
      <c r="Y29" s="482">
        <f>'Goods and WorksPP'!AQ9</f>
        <v>0</v>
      </c>
      <c r="Z29" s="549">
        <f>'Goods and WorksPP'!AR9</f>
        <v>0</v>
      </c>
    </row>
    <row r="30" spans="1:26" x14ac:dyDescent="0.35">
      <c r="A30" s="498"/>
      <c r="B30" s="493" t="str">
        <f>'Goods and WorksPP'!C10</f>
        <v>BWW2-2</v>
      </c>
      <c r="C30" s="461" t="str">
        <f>'Goods and WorksPP'!D10</f>
        <v>Distribution Networks,
Pumping Stations &amp; Reservoirs – Zone B</v>
      </c>
      <c r="D30" s="456">
        <f>'Goods and WorksPP'!G10</f>
        <v>2.5000000000000001E-2</v>
      </c>
      <c r="E30" s="456">
        <f>'Goods and WorksPP'!H10</f>
        <v>0.97499999999999998</v>
      </c>
      <c r="F30" s="473"/>
      <c r="G30" s="474"/>
      <c r="H30" s="537"/>
      <c r="I30" s="474"/>
      <c r="J30" s="494">
        <f>'Goods and WorksPP'!AN10</f>
        <v>1</v>
      </c>
      <c r="K30" s="473">
        <f>'Goods and WorksPP'!AI10</f>
        <v>0</v>
      </c>
      <c r="L30" s="474"/>
      <c r="M30" s="495"/>
      <c r="N30" s="494">
        <f>1-J30</f>
        <v>0</v>
      </c>
      <c r="O30" s="473">
        <f>H30-K30</f>
        <v>0</v>
      </c>
      <c r="P30" s="474"/>
      <c r="Q30" s="495"/>
      <c r="R30" s="462">
        <f>'Goods and WorksPP'!AC10</f>
        <v>0</v>
      </c>
      <c r="S30" s="462">
        <f>'Goods and WorksPP'!AD10</f>
        <v>0</v>
      </c>
      <c r="T30" s="473"/>
      <c r="U30" s="462">
        <f>'Goods and WorksPP'!AJ10</f>
        <v>0</v>
      </c>
      <c r="V30" s="462">
        <f>'Goods and WorksPP'!AK10</f>
        <v>0</v>
      </c>
      <c r="W30" s="402"/>
      <c r="X30" s="480">
        <f>'Goods and WorksPP'!AP10</f>
        <v>0</v>
      </c>
      <c r="Y30" s="480">
        <f>'Goods and WorksPP'!AQ10</f>
        <v>0</v>
      </c>
      <c r="Z30" s="549">
        <v>0</v>
      </c>
    </row>
    <row r="31" spans="1:26" x14ac:dyDescent="0.35">
      <c r="A31" s="498"/>
      <c r="B31" s="493">
        <f>'Goods and WorksPP'!C11</f>
        <v>0</v>
      </c>
      <c r="C31" s="461">
        <f>'Goods and WorksPP'!D11</f>
        <v>0</v>
      </c>
      <c r="D31" s="456">
        <f>'Goods and WorksPP'!G11</f>
        <v>0</v>
      </c>
      <c r="E31" s="456">
        <f>'Goods and WorksPP'!H11</f>
        <v>0</v>
      </c>
      <c r="F31" s="495"/>
      <c r="G31" s="474"/>
      <c r="H31" s="537"/>
      <c r="I31" s="474"/>
      <c r="J31" s="495"/>
      <c r="K31" s="474"/>
      <c r="L31" s="474"/>
      <c r="M31" s="495"/>
      <c r="N31" s="495"/>
      <c r="O31" s="474"/>
      <c r="P31" s="474"/>
      <c r="Q31" s="495"/>
      <c r="R31" s="462">
        <f>'Goods and WorksPP'!AC11</f>
        <v>0</v>
      </c>
      <c r="S31" s="462">
        <f>'Goods and WorksPP'!AD11</f>
        <v>0</v>
      </c>
      <c r="T31" s="474"/>
      <c r="U31" s="462">
        <f>'Goods and WorksPP'!AJ11</f>
        <v>0</v>
      </c>
      <c r="V31" s="462">
        <f>'Goods and WorksPP'!AK11</f>
        <v>0</v>
      </c>
      <c r="W31" s="403"/>
      <c r="X31" s="481">
        <f>'Goods and WorksPP'!AP11</f>
        <v>0</v>
      </c>
      <c r="Y31" s="481">
        <f>'Goods and WorksPP'!AQ11</f>
        <v>0</v>
      </c>
      <c r="Z31" s="549">
        <f>'Goods and WorksPP'!AR11</f>
        <v>0</v>
      </c>
    </row>
    <row r="32" spans="1:26" x14ac:dyDescent="0.35">
      <c r="A32" s="498"/>
      <c r="B32" s="493">
        <f>'Goods and WorksPP'!C13</f>
        <v>0</v>
      </c>
      <c r="C32" s="461">
        <f>'Goods and WorksPP'!D13</f>
        <v>0</v>
      </c>
      <c r="D32" s="456">
        <f>'Goods and WorksPP'!G13</f>
        <v>0</v>
      </c>
      <c r="E32" s="456">
        <f>'Goods and WorksPP'!H13</f>
        <v>0</v>
      </c>
      <c r="F32" s="496"/>
      <c r="G32" s="474"/>
      <c r="H32" s="537"/>
      <c r="I32" s="474"/>
      <c r="J32" s="496"/>
      <c r="K32" s="475"/>
      <c r="L32" s="474"/>
      <c r="M32" s="495"/>
      <c r="N32" s="496"/>
      <c r="O32" s="475"/>
      <c r="P32" s="474"/>
      <c r="Q32" s="495"/>
      <c r="R32" s="462">
        <f>'Goods and WorksPP'!AC13</f>
        <v>0</v>
      </c>
      <c r="S32" s="462">
        <f>'Goods and WorksPP'!AD13</f>
        <v>0</v>
      </c>
      <c r="T32" s="475"/>
      <c r="U32" s="462">
        <f>'Goods and WorksPP'!AJ13</f>
        <v>0</v>
      </c>
      <c r="V32" s="462">
        <f>'Goods and WorksPP'!AK13</f>
        <v>0</v>
      </c>
      <c r="W32" s="404"/>
      <c r="X32" s="482">
        <f>'Goods and WorksPP'!AP13</f>
        <v>0</v>
      </c>
      <c r="Y32" s="482">
        <f>'Goods and WorksPP'!AQ13</f>
        <v>0</v>
      </c>
      <c r="Z32" s="549">
        <f>'Goods and WorksPP'!AR13</f>
        <v>0</v>
      </c>
    </row>
    <row r="33" spans="1:26" ht="12.75" customHeight="1" x14ac:dyDescent="0.35">
      <c r="A33" s="498"/>
      <c r="B33" s="493" t="str">
        <f>'Goods and WorksPP'!C14</f>
        <v>BWW2-3</v>
      </c>
      <c r="C33" s="461" t="str">
        <f>'Goods and WorksPP'!D14</f>
        <v>Distribution Networks,
Pumping Stations &amp; Reservoirs – Zone C</v>
      </c>
      <c r="D33" s="456">
        <f>'Goods and WorksPP'!G14</f>
        <v>2.5000000000000001E-2</v>
      </c>
      <c r="E33" s="456">
        <f>'Goods and WorksPP'!H14</f>
        <v>0.97499999999999998</v>
      </c>
      <c r="F33" s="473"/>
      <c r="G33" s="474"/>
      <c r="H33" s="537"/>
      <c r="I33" s="474"/>
      <c r="J33" s="494">
        <f>'Goods and WorksPP'!AN14</f>
        <v>1</v>
      </c>
      <c r="K33" s="473">
        <f>'Goods and WorksPP'!AI14</f>
        <v>0</v>
      </c>
      <c r="L33" s="474"/>
      <c r="M33" s="495"/>
      <c r="N33" s="494">
        <f>1-J33</f>
        <v>0</v>
      </c>
      <c r="O33" s="473">
        <f>H33-K33</f>
        <v>0</v>
      </c>
      <c r="P33" s="474"/>
      <c r="Q33" s="495"/>
      <c r="R33" s="462">
        <f>'Goods and WorksPP'!AC14</f>
        <v>0</v>
      </c>
      <c r="S33" s="462">
        <f>'Goods and WorksPP'!AD14</f>
        <v>0</v>
      </c>
      <c r="T33" s="473"/>
      <c r="U33" s="462">
        <f>'Goods and WorksPP'!AJ14</f>
        <v>0</v>
      </c>
      <c r="V33" s="462">
        <f>'Goods and WorksPP'!AK14</f>
        <v>0</v>
      </c>
      <c r="W33" s="402"/>
      <c r="X33" s="480">
        <f>'Goods and WorksPP'!AP14</f>
        <v>0</v>
      </c>
      <c r="Y33" s="480">
        <f>'Goods and WorksPP'!AQ14</f>
        <v>0</v>
      </c>
      <c r="Z33" s="549">
        <v>0</v>
      </c>
    </row>
    <row r="34" spans="1:26" x14ac:dyDescent="0.35">
      <c r="A34" s="498"/>
      <c r="B34" s="493">
        <f>'Goods and WorksPP'!C15</f>
        <v>0</v>
      </c>
      <c r="C34" s="461">
        <f>'Goods and WorksPP'!D15</f>
        <v>0</v>
      </c>
      <c r="D34" s="456">
        <f>'Goods and WorksPP'!G15</f>
        <v>0</v>
      </c>
      <c r="E34" s="456">
        <f>'Goods and WorksPP'!H15</f>
        <v>0</v>
      </c>
      <c r="F34" s="495"/>
      <c r="G34" s="474"/>
      <c r="H34" s="537"/>
      <c r="I34" s="474"/>
      <c r="J34" s="495"/>
      <c r="K34" s="474"/>
      <c r="L34" s="474"/>
      <c r="M34" s="495"/>
      <c r="N34" s="495"/>
      <c r="O34" s="474"/>
      <c r="P34" s="474"/>
      <c r="Q34" s="495"/>
      <c r="R34" s="462">
        <f>'Goods and WorksPP'!AC15</f>
        <v>0</v>
      </c>
      <c r="S34" s="462">
        <f>'Goods and WorksPP'!AD15</f>
        <v>0</v>
      </c>
      <c r="T34" s="474"/>
      <c r="U34" s="462">
        <f>'Goods and WorksPP'!AJ15</f>
        <v>0</v>
      </c>
      <c r="V34" s="462">
        <f>'Goods and WorksPP'!AK15</f>
        <v>0</v>
      </c>
      <c r="W34" s="403"/>
      <c r="X34" s="481">
        <f>'Goods and WorksPP'!AP15</f>
        <v>0</v>
      </c>
      <c r="Y34" s="481">
        <f>'Goods and WorksPP'!AQ15</f>
        <v>0</v>
      </c>
      <c r="Z34" s="549">
        <f>'Goods and WorksPP'!AR15</f>
        <v>0</v>
      </c>
    </row>
    <row r="35" spans="1:26" x14ac:dyDescent="0.35">
      <c r="A35" s="498"/>
      <c r="B35" s="493">
        <f>'Goods and WorksPP'!C17</f>
        <v>0</v>
      </c>
      <c r="C35" s="461">
        <f>'Goods and WorksPP'!D17</f>
        <v>0</v>
      </c>
      <c r="D35" s="456">
        <f>'Goods and WorksPP'!G17</f>
        <v>0</v>
      </c>
      <c r="E35" s="456">
        <f>'Goods and WorksPP'!H17</f>
        <v>0</v>
      </c>
      <c r="F35" s="496"/>
      <c r="G35" s="474"/>
      <c r="H35" s="537"/>
      <c r="I35" s="474"/>
      <c r="J35" s="496"/>
      <c r="K35" s="475"/>
      <c r="L35" s="474"/>
      <c r="M35" s="495"/>
      <c r="N35" s="496"/>
      <c r="O35" s="475"/>
      <c r="P35" s="474"/>
      <c r="Q35" s="495"/>
      <c r="R35" s="462">
        <f>'Goods and WorksPP'!AC17</f>
        <v>0</v>
      </c>
      <c r="S35" s="462">
        <f>'Goods and WorksPP'!AD17</f>
        <v>0</v>
      </c>
      <c r="T35" s="475"/>
      <c r="U35" s="462">
        <f>'Goods and WorksPP'!AJ17</f>
        <v>0</v>
      </c>
      <c r="V35" s="462">
        <f>'Goods and WorksPP'!AK17</f>
        <v>0</v>
      </c>
      <c r="W35" s="404"/>
      <c r="X35" s="482">
        <f>'Goods and WorksPP'!AP17</f>
        <v>0</v>
      </c>
      <c r="Y35" s="482">
        <f>'Goods and WorksPP'!AQ17</f>
        <v>0</v>
      </c>
      <c r="Z35" s="549">
        <f>'Goods and WorksPP'!AR17</f>
        <v>0</v>
      </c>
    </row>
    <row r="36" spans="1:26" x14ac:dyDescent="0.35">
      <c r="A36" s="498"/>
      <c r="B36" s="493" t="str">
        <f>'Goods and WorksPP'!C18</f>
        <v>BWW2-4</v>
      </c>
      <c r="C36" s="461" t="str">
        <f>'Goods and WorksPP'!D18</f>
        <v>Distribution Networks,
Pumping Stations &amp; Reservoirs – Zone D</v>
      </c>
      <c r="D36" s="456">
        <f>'Goods and WorksPP'!G18</f>
        <v>2.5000000000000001E-2</v>
      </c>
      <c r="E36" s="456">
        <f>'Goods and WorksPP'!H18</f>
        <v>0.97499999999999998</v>
      </c>
      <c r="F36" s="473"/>
      <c r="G36" s="474"/>
      <c r="H36" s="546"/>
      <c r="I36" s="474"/>
      <c r="J36" s="494">
        <f>'Goods and WorksPP'!AN18</f>
        <v>0.95</v>
      </c>
      <c r="K36" s="473">
        <f>'Goods and WorksPP'!AI18</f>
        <v>0</v>
      </c>
      <c r="L36" s="474"/>
      <c r="M36" s="495"/>
      <c r="N36" s="494">
        <f>1-J36</f>
        <v>5.0000000000000044E-2</v>
      </c>
      <c r="O36" s="473">
        <f>H36-K36</f>
        <v>0</v>
      </c>
      <c r="P36" s="474"/>
      <c r="Q36" s="495"/>
      <c r="R36" s="462">
        <f>H36*D36</f>
        <v>0</v>
      </c>
      <c r="S36" s="462">
        <f>H36-R36</f>
        <v>0</v>
      </c>
      <c r="T36" s="473"/>
      <c r="U36" s="462">
        <f>'Goods and WorksPP'!AJ18</f>
        <v>0</v>
      </c>
      <c r="V36" s="462">
        <f>'Goods and WorksPP'!AK18</f>
        <v>0</v>
      </c>
      <c r="W36" s="402"/>
      <c r="X36" s="480">
        <f>R36-U36</f>
        <v>0</v>
      </c>
      <c r="Y36" s="480">
        <f>S36-V36</f>
        <v>0</v>
      </c>
      <c r="Z36" s="549">
        <v>0</v>
      </c>
    </row>
    <row r="37" spans="1:26" x14ac:dyDescent="0.35">
      <c r="A37" s="498"/>
      <c r="B37" s="493">
        <f>'Goods and WorksPP'!C19</f>
        <v>0</v>
      </c>
      <c r="C37" s="461">
        <f>'Goods and WorksPP'!D19</f>
        <v>0</v>
      </c>
      <c r="D37" s="456">
        <f>'Goods and WorksPP'!G19</f>
        <v>0</v>
      </c>
      <c r="E37" s="456">
        <f>'Goods and WorksPP'!H19</f>
        <v>0</v>
      </c>
      <c r="F37" s="495"/>
      <c r="G37" s="474"/>
      <c r="H37" s="546"/>
      <c r="I37" s="474"/>
      <c r="J37" s="495"/>
      <c r="K37" s="474"/>
      <c r="L37" s="474"/>
      <c r="M37" s="495"/>
      <c r="N37" s="495"/>
      <c r="O37" s="474"/>
      <c r="P37" s="474"/>
      <c r="Q37" s="495"/>
      <c r="R37" s="462">
        <f>'Goods and WorksPP'!AC52</f>
        <v>0</v>
      </c>
      <c r="S37" s="462">
        <f>'Goods and WorksPP'!AD19</f>
        <v>0</v>
      </c>
      <c r="T37" s="474"/>
      <c r="U37" s="462">
        <f>'Goods and WorksPP'!AJ19</f>
        <v>0</v>
      </c>
      <c r="V37" s="462">
        <f>'Goods and WorksPP'!AK19</f>
        <v>0</v>
      </c>
      <c r="W37" s="403"/>
      <c r="X37" s="481">
        <f>'Goods and WorksPP'!AP19</f>
        <v>0</v>
      </c>
      <c r="Y37" s="481">
        <f>'Goods and WorksPP'!AQ19</f>
        <v>0</v>
      </c>
      <c r="Z37" s="549">
        <f>'Goods and WorksPP'!AR19</f>
        <v>0</v>
      </c>
    </row>
    <row r="38" spans="1:26" x14ac:dyDescent="0.35">
      <c r="A38" s="498"/>
      <c r="B38" s="493">
        <f>'Goods and WorksPP'!C21</f>
        <v>0</v>
      </c>
      <c r="C38" s="461">
        <f>'Goods and WorksPP'!D21</f>
        <v>0</v>
      </c>
      <c r="D38" s="456">
        <f>'Goods and WorksPP'!G21</f>
        <v>0</v>
      </c>
      <c r="E38" s="456">
        <f>'Goods and WorksPP'!H21</f>
        <v>0</v>
      </c>
      <c r="F38" s="496"/>
      <c r="G38" s="475"/>
      <c r="H38" s="546"/>
      <c r="I38" s="475"/>
      <c r="J38" s="496"/>
      <c r="K38" s="475"/>
      <c r="L38" s="475"/>
      <c r="M38" s="496"/>
      <c r="N38" s="496"/>
      <c r="O38" s="475"/>
      <c r="P38" s="475"/>
      <c r="Q38" s="496"/>
      <c r="R38" s="462">
        <f>'Goods and WorksPP'!AC53</f>
        <v>0</v>
      </c>
      <c r="S38" s="462">
        <f>'Goods and WorksPP'!AD21</f>
        <v>0</v>
      </c>
      <c r="T38" s="475"/>
      <c r="U38" s="462">
        <f>'Goods and WorksPP'!AJ21</f>
        <v>0</v>
      </c>
      <c r="V38" s="462">
        <f>'Goods and WorksPP'!AK21</f>
        <v>0</v>
      </c>
      <c r="W38" s="404"/>
      <c r="X38" s="482">
        <f>'Goods and WorksPP'!AP21</f>
        <v>0</v>
      </c>
      <c r="Y38" s="482">
        <f>'Goods and WorksPP'!AQ21</f>
        <v>0</v>
      </c>
      <c r="Z38" s="549">
        <f>'Goods and WorksPP'!AR21</f>
        <v>0</v>
      </c>
    </row>
    <row r="39" spans="1:26" ht="12.75" customHeight="1" x14ac:dyDescent="0.35">
      <c r="A39" s="498"/>
      <c r="B39" s="461" t="str">
        <f>'Consulting ServicesPP'!C15</f>
        <v>BWC2-1</v>
      </c>
      <c r="C39" s="461" t="s">
        <v>168</v>
      </c>
      <c r="D39" s="456">
        <v>2.5000000000000001E-2</v>
      </c>
      <c r="E39" s="456">
        <f>1-D39</f>
        <v>0.97499999999999998</v>
      </c>
      <c r="F39" s="473"/>
      <c r="G39" s="473">
        <f>F39</f>
        <v>0</v>
      </c>
      <c r="H39" s="462"/>
      <c r="I39" s="473">
        <f>H39</f>
        <v>0</v>
      </c>
      <c r="J39" s="494"/>
      <c r="K39" s="473">
        <f>'Consulting ServicesPP'!AG15</f>
        <v>0</v>
      </c>
      <c r="L39" s="473">
        <f>K39</f>
        <v>0</v>
      </c>
      <c r="M39" s="494"/>
      <c r="N39" s="494"/>
      <c r="O39" s="473">
        <f>I39-L39</f>
        <v>0</v>
      </c>
      <c r="P39" s="473">
        <f>O39</f>
        <v>0</v>
      </c>
      <c r="Q39" s="494"/>
      <c r="R39" s="462">
        <f>'Consulting ServicesPP'!AC15</f>
        <v>0</v>
      </c>
      <c r="S39" s="462">
        <f>'Consulting ServicesPP'!AD15</f>
        <v>0</v>
      </c>
      <c r="T39" s="473"/>
      <c r="U39" s="462">
        <f>'Consulting ServicesPP'!AH15</f>
        <v>0</v>
      </c>
      <c r="V39" s="462">
        <f>'Consulting ServicesPP'!AI15</f>
        <v>0</v>
      </c>
      <c r="W39" s="402"/>
      <c r="X39" s="480">
        <f>'Consulting ServicesPP'!AL15</f>
        <v>0</v>
      </c>
      <c r="Y39" s="480">
        <f>'Consulting ServicesPP'!AM15</f>
        <v>0</v>
      </c>
      <c r="Z39" s="549">
        <v>0</v>
      </c>
    </row>
    <row r="40" spans="1:26" x14ac:dyDescent="0.35">
      <c r="A40" s="498"/>
      <c r="B40" s="461">
        <f>'Consulting ServicesPP'!B41</f>
        <v>0</v>
      </c>
      <c r="C40" s="461"/>
      <c r="D40" s="456"/>
      <c r="E40" s="456"/>
      <c r="F40" s="495"/>
      <c r="G40" s="495"/>
      <c r="H40" s="462"/>
      <c r="I40" s="495"/>
      <c r="J40" s="495"/>
      <c r="K40" s="495"/>
      <c r="L40" s="495"/>
      <c r="M40" s="495"/>
      <c r="N40" s="495"/>
      <c r="O40" s="495"/>
      <c r="P40" s="495"/>
      <c r="Q40" s="495"/>
      <c r="R40" s="462"/>
      <c r="S40" s="462"/>
      <c r="T40" s="474"/>
      <c r="U40" s="462"/>
      <c r="V40" s="462"/>
      <c r="W40" s="403"/>
      <c r="X40" s="481"/>
      <c r="Y40" s="481"/>
      <c r="Z40" s="549"/>
    </row>
    <row r="41" spans="1:26" x14ac:dyDescent="0.35">
      <c r="A41" s="498"/>
      <c r="B41" s="461">
        <f>'Consulting ServicesPP'!B42</f>
        <v>0</v>
      </c>
      <c r="C41" s="461"/>
      <c r="D41" s="456"/>
      <c r="E41" s="456"/>
      <c r="F41" s="496"/>
      <c r="G41" s="496"/>
      <c r="H41" s="462"/>
      <c r="I41" s="496"/>
      <c r="J41" s="496"/>
      <c r="K41" s="496"/>
      <c r="L41" s="496"/>
      <c r="M41" s="496"/>
      <c r="N41" s="496"/>
      <c r="O41" s="496"/>
      <c r="P41" s="496"/>
      <c r="Q41" s="496"/>
      <c r="R41" s="462"/>
      <c r="S41" s="462"/>
      <c r="T41" s="475"/>
      <c r="U41" s="462"/>
      <c r="V41" s="462"/>
      <c r="W41" s="404"/>
      <c r="X41" s="482"/>
      <c r="Y41" s="482"/>
      <c r="Z41" s="549"/>
    </row>
    <row r="42" spans="1:26" x14ac:dyDescent="0.35">
      <c r="A42" s="498"/>
      <c r="B42" s="493" t="str">
        <f>'Goods and WorksPP'!C31</f>
        <v>BWW2-5</v>
      </c>
      <c r="C42" s="461" t="str">
        <f>'Goods and WorksPP'!D31</f>
        <v>Meters
(Canceled)</v>
      </c>
      <c r="D42" s="456">
        <f>'Goods and WorksPP'!G31</f>
        <v>0.05</v>
      </c>
      <c r="E42" s="456">
        <f>'Goods and WorksPP'!H31</f>
        <v>0.95</v>
      </c>
      <c r="F42" s="473"/>
      <c r="G42" s="473">
        <f>F42</f>
        <v>0</v>
      </c>
      <c r="H42" s="543"/>
      <c r="I42" s="543">
        <f>H42</f>
        <v>0</v>
      </c>
      <c r="J42" s="406"/>
      <c r="K42" s="400"/>
      <c r="L42" s="400"/>
      <c r="M42" s="494"/>
      <c r="N42" s="406"/>
      <c r="O42" s="473">
        <f>I42-L42</f>
        <v>0</v>
      </c>
      <c r="P42" s="473">
        <f>O42</f>
        <v>0</v>
      </c>
      <c r="Q42" s="494"/>
      <c r="R42" s="462">
        <f>H42*D42</f>
        <v>0</v>
      </c>
      <c r="S42" s="462">
        <f>H42-R42</f>
        <v>0</v>
      </c>
      <c r="T42" s="473"/>
      <c r="U42" s="462">
        <f>'Goods and WorksPP'!AJ31</f>
        <v>0</v>
      </c>
      <c r="V42" s="462">
        <f>'Goods and WorksPP'!AK31</f>
        <v>0</v>
      </c>
      <c r="W42" s="402"/>
      <c r="X42" s="480">
        <f>R42-U42</f>
        <v>0</v>
      </c>
      <c r="Y42" s="480">
        <f>S42-V42</f>
        <v>0</v>
      </c>
      <c r="Z42" s="549">
        <v>0</v>
      </c>
    </row>
    <row r="43" spans="1:26" x14ac:dyDescent="0.35">
      <c r="A43" s="498"/>
      <c r="B43" s="493">
        <f>'Goods and WorksPP'!C32</f>
        <v>0</v>
      </c>
      <c r="C43" s="461">
        <f>'Goods and WorksPP'!D32</f>
        <v>0</v>
      </c>
      <c r="D43" s="456">
        <f>'Goods and WorksPP'!G32</f>
        <v>0</v>
      </c>
      <c r="E43" s="456">
        <f>'Goods and WorksPP'!H32</f>
        <v>0</v>
      </c>
      <c r="F43" s="495"/>
      <c r="G43" s="495"/>
      <c r="H43" s="544"/>
      <c r="I43" s="544"/>
      <c r="J43" s="407"/>
      <c r="K43" s="407"/>
      <c r="L43" s="407"/>
      <c r="M43" s="495"/>
      <c r="N43" s="407"/>
      <c r="O43" s="495"/>
      <c r="P43" s="495"/>
      <c r="Q43" s="495"/>
      <c r="R43" s="462">
        <f>'Goods and WorksPP'!AC58</f>
        <v>0</v>
      </c>
      <c r="S43" s="462">
        <f>'Goods and WorksPP'!AD26</f>
        <v>0</v>
      </c>
      <c r="T43" s="474"/>
      <c r="U43" s="462">
        <f>'Goods and WorksPP'!AJ32</f>
        <v>0</v>
      </c>
      <c r="V43" s="462">
        <f>'Goods and WorksPP'!AK32</f>
        <v>0</v>
      </c>
      <c r="W43" s="403"/>
      <c r="X43" s="481">
        <f>'Goods and WorksPP'!AP26</f>
        <v>0</v>
      </c>
      <c r="Y43" s="481">
        <f>'Goods and WorksPP'!AQ26</f>
        <v>0</v>
      </c>
      <c r="Z43" s="549">
        <f>'Goods and WorksPP'!AR26</f>
        <v>0</v>
      </c>
    </row>
    <row r="44" spans="1:26" x14ac:dyDescent="0.35">
      <c r="A44" s="498"/>
      <c r="B44" s="493">
        <f>'Goods and WorksPP'!C33</f>
        <v>0</v>
      </c>
      <c r="C44" s="461">
        <f>'Goods and WorksPP'!D33</f>
        <v>0</v>
      </c>
      <c r="D44" s="456">
        <f>'Goods and WorksPP'!G33</f>
        <v>0</v>
      </c>
      <c r="E44" s="456">
        <f>'Goods and WorksPP'!H33</f>
        <v>0</v>
      </c>
      <c r="F44" s="496"/>
      <c r="G44" s="496"/>
      <c r="H44" s="545"/>
      <c r="I44" s="545"/>
      <c r="J44" s="408"/>
      <c r="K44" s="408"/>
      <c r="L44" s="408"/>
      <c r="M44" s="496"/>
      <c r="N44" s="408"/>
      <c r="O44" s="496"/>
      <c r="P44" s="496"/>
      <c r="Q44" s="496"/>
      <c r="R44" s="462">
        <f>'Goods and WorksPP'!AC59</f>
        <v>0</v>
      </c>
      <c r="S44" s="462">
        <f>'Goods and WorksPP'!AD27</f>
        <v>0</v>
      </c>
      <c r="T44" s="475"/>
      <c r="U44" s="462">
        <f>'Goods and WorksPP'!AJ33</f>
        <v>0</v>
      </c>
      <c r="V44" s="462">
        <f>'Goods and WorksPP'!AK33</f>
        <v>0</v>
      </c>
      <c r="W44" s="404"/>
      <c r="X44" s="482">
        <f>'Goods and WorksPP'!AP27</f>
        <v>0</v>
      </c>
      <c r="Y44" s="482">
        <f>'Goods and WorksPP'!AQ27</f>
        <v>0</v>
      </c>
      <c r="Z44" s="549">
        <f>'Goods and WorksPP'!AR27</f>
        <v>0</v>
      </c>
    </row>
    <row r="45" spans="1:26" x14ac:dyDescent="0.35">
      <c r="A45" s="498"/>
      <c r="B45" s="461" t="str">
        <f>'Consulting ServicesPP'!C19</f>
        <v>BWC2-2</v>
      </c>
      <c r="C45" s="461" t="s">
        <v>118</v>
      </c>
      <c r="D45" s="456">
        <v>0.05</v>
      </c>
      <c r="E45" s="456">
        <f>1-D45</f>
        <v>0.95</v>
      </c>
      <c r="F45" s="473"/>
      <c r="G45" s="473">
        <f>F45</f>
        <v>0</v>
      </c>
      <c r="H45" s="494"/>
      <c r="I45" s="494"/>
      <c r="J45" s="494"/>
      <c r="K45" s="494"/>
      <c r="L45" s="494"/>
      <c r="M45" s="494"/>
      <c r="N45" s="494"/>
      <c r="O45" s="473">
        <f>I45-L45</f>
        <v>0</v>
      </c>
      <c r="P45" s="473">
        <f>O45</f>
        <v>0</v>
      </c>
      <c r="Q45" s="494"/>
      <c r="R45" s="462">
        <f>H45*D45</f>
        <v>0</v>
      </c>
      <c r="S45" s="462">
        <f>H45-R45</f>
        <v>0</v>
      </c>
      <c r="T45" s="473"/>
      <c r="U45" s="462">
        <f>'Consulting ServicesPP'!AH19</f>
        <v>0</v>
      </c>
      <c r="V45" s="462">
        <f>'Consulting ServicesPP'!AI19</f>
        <v>0</v>
      </c>
      <c r="W45" s="402"/>
      <c r="X45" s="480">
        <f>R45-U45</f>
        <v>0</v>
      </c>
      <c r="Y45" s="480">
        <f>S45-V45</f>
        <v>0</v>
      </c>
      <c r="Z45" s="549">
        <v>0</v>
      </c>
    </row>
    <row r="46" spans="1:26" x14ac:dyDescent="0.35">
      <c r="A46" s="498"/>
      <c r="B46" s="461">
        <f>'Consulting ServicesPP'!B47</f>
        <v>0</v>
      </c>
      <c r="C46" s="461"/>
      <c r="D46" s="456"/>
      <c r="E46" s="456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62">
        <f>'Goods and WorksPP'!AC61</f>
        <v>0</v>
      </c>
      <c r="S46" s="462">
        <f>'Goods and WorksPP'!AD29</f>
        <v>0</v>
      </c>
      <c r="T46" s="474"/>
      <c r="U46" s="462"/>
      <c r="V46" s="462"/>
      <c r="W46" s="403"/>
      <c r="X46" s="481">
        <f>'Goods and WorksPP'!AP29</f>
        <v>0</v>
      </c>
      <c r="Y46" s="481">
        <f>'Goods and WorksPP'!AQ29</f>
        <v>0</v>
      </c>
      <c r="Z46" s="549">
        <f>'Goods and WorksPP'!AR29</f>
        <v>0</v>
      </c>
    </row>
    <row r="47" spans="1:26" x14ac:dyDescent="0.35">
      <c r="A47" s="499"/>
      <c r="B47" s="461">
        <f>'Consulting ServicesPP'!B48</f>
        <v>0</v>
      </c>
      <c r="C47" s="461"/>
      <c r="D47" s="456"/>
      <c r="E47" s="45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62">
        <f>'Goods and WorksPP'!AC62</f>
        <v>0</v>
      </c>
      <c r="S47" s="462">
        <f>'Goods and WorksPP'!AD30</f>
        <v>0</v>
      </c>
      <c r="T47" s="475"/>
      <c r="U47" s="462"/>
      <c r="V47" s="462"/>
      <c r="W47" s="404"/>
      <c r="X47" s="482">
        <f>'Goods and WorksPP'!AP30</f>
        <v>0</v>
      </c>
      <c r="Y47" s="482">
        <f>'Goods and WorksPP'!AQ30</f>
        <v>0</v>
      </c>
      <c r="Z47" s="549">
        <f>'Goods and WorksPP'!AR30</f>
        <v>0</v>
      </c>
    </row>
    <row r="48" spans="1:26" s="128" customFormat="1" x14ac:dyDescent="0.35">
      <c r="A48" s="123"/>
      <c r="B48" s="541" t="s">
        <v>459</v>
      </c>
      <c r="C48" s="541"/>
      <c r="D48" s="541"/>
      <c r="E48" s="541"/>
      <c r="F48" s="124">
        <f>SUM(F27:F47)</f>
        <v>0</v>
      </c>
      <c r="G48" s="124">
        <f t="shared" ref="G48:L48" si="1">SUM(G27:G47)</f>
        <v>0</v>
      </c>
      <c r="H48" s="124">
        <f t="shared" si="1"/>
        <v>0</v>
      </c>
      <c r="I48" s="124">
        <f t="shared" si="1"/>
        <v>0</v>
      </c>
      <c r="J48" s="125"/>
      <c r="K48" s="124">
        <f t="shared" si="1"/>
        <v>0</v>
      </c>
      <c r="L48" s="124">
        <f t="shared" si="1"/>
        <v>0</v>
      </c>
      <c r="M48" s="126"/>
      <c r="N48" s="125"/>
      <c r="O48" s="124">
        <f>SUM(O27:O47)</f>
        <v>0</v>
      </c>
      <c r="P48" s="124">
        <f>SUM(P27:P47)</f>
        <v>0</v>
      </c>
      <c r="Q48" s="125"/>
      <c r="R48" s="124">
        <f t="shared" ref="R48:Y48" si="2">SUM(R27:R47)</f>
        <v>0</v>
      </c>
      <c r="S48" s="124">
        <f t="shared" si="2"/>
        <v>0</v>
      </c>
      <c r="T48" s="124">
        <f t="shared" si="2"/>
        <v>0</v>
      </c>
      <c r="U48" s="124">
        <f t="shared" si="2"/>
        <v>0</v>
      </c>
      <c r="V48" s="124">
        <f t="shared" si="2"/>
        <v>0</v>
      </c>
      <c r="W48" s="124">
        <f t="shared" si="2"/>
        <v>0</v>
      </c>
      <c r="X48" s="124">
        <f t="shared" si="2"/>
        <v>0</v>
      </c>
      <c r="Y48" s="124">
        <f t="shared" si="2"/>
        <v>0</v>
      </c>
      <c r="Z48" s="127">
        <f>SUM(Z27:Z47)</f>
        <v>0</v>
      </c>
    </row>
    <row r="49" spans="1:26" ht="7.15" customHeight="1" x14ac:dyDescent="0.35"/>
    <row r="50" spans="1:26" ht="13.15" customHeight="1" x14ac:dyDescent="0.35">
      <c r="A50" s="497" t="s">
        <v>457</v>
      </c>
      <c r="B50" s="405" t="s">
        <v>374</v>
      </c>
      <c r="C50" s="398" t="s">
        <v>376</v>
      </c>
      <c r="D50" s="110">
        <v>0.66</v>
      </c>
      <c r="E50" s="397">
        <v>0.34</v>
      </c>
      <c r="F50" s="109"/>
      <c r="G50" s="473"/>
      <c r="H50" s="122">
        <f>F50</f>
        <v>0</v>
      </c>
      <c r="I50" s="122">
        <f>H50</f>
        <v>0</v>
      </c>
      <c r="J50" s="110"/>
      <c r="K50" s="399"/>
      <c r="L50" s="473"/>
      <c r="M50" s="406"/>
      <c r="N50" s="397"/>
      <c r="O50" s="109"/>
      <c r="P50" s="473"/>
      <c r="Q50" s="406"/>
      <c r="R50" s="77"/>
      <c r="S50" s="77"/>
      <c r="T50" s="77"/>
      <c r="U50" s="77"/>
      <c r="V50" s="77"/>
      <c r="W50" s="77"/>
      <c r="X50" s="77"/>
      <c r="Y50" s="77"/>
      <c r="Z50" s="78"/>
    </row>
    <row r="51" spans="1:26" x14ac:dyDescent="0.35">
      <c r="A51" s="498"/>
      <c r="B51" s="405"/>
      <c r="C51" s="121" t="s">
        <v>463</v>
      </c>
      <c r="D51" s="110">
        <v>0.66</v>
      </c>
      <c r="E51" s="397">
        <v>0.34</v>
      </c>
      <c r="F51" s="109"/>
      <c r="G51" s="474"/>
      <c r="H51" s="122">
        <f>F51</f>
        <v>0</v>
      </c>
      <c r="I51" s="122">
        <f>H51</f>
        <v>0</v>
      </c>
      <c r="J51" s="110"/>
      <c r="K51" s="77"/>
      <c r="L51" s="474"/>
      <c r="M51" s="406"/>
      <c r="N51" s="397"/>
      <c r="O51" s="109"/>
      <c r="P51" s="474"/>
      <c r="Q51" s="407"/>
      <c r="R51" s="77"/>
      <c r="S51" s="77"/>
      <c r="T51" s="77"/>
      <c r="U51" s="77"/>
      <c r="V51" s="77"/>
      <c r="W51" s="77"/>
      <c r="X51" s="77"/>
      <c r="Y51" s="77"/>
      <c r="Z51" s="78"/>
    </row>
    <row r="52" spans="1:26" x14ac:dyDescent="0.35">
      <c r="A52" s="498"/>
      <c r="B52" s="405"/>
      <c r="C52" s="121" t="s">
        <v>464</v>
      </c>
      <c r="D52" s="110">
        <v>0.66</v>
      </c>
      <c r="E52" s="397">
        <v>0.34</v>
      </c>
      <c r="F52" s="109"/>
      <c r="G52" s="474"/>
      <c r="H52" s="122">
        <f>F52</f>
        <v>0</v>
      </c>
      <c r="I52" s="122">
        <f>H52</f>
        <v>0</v>
      </c>
      <c r="J52" s="110"/>
      <c r="K52" s="77"/>
      <c r="L52" s="474"/>
      <c r="M52" s="406"/>
      <c r="N52" s="397"/>
      <c r="O52" s="109"/>
      <c r="P52" s="474"/>
      <c r="Q52" s="407"/>
      <c r="R52" s="77"/>
      <c r="S52" s="77"/>
      <c r="T52" s="77"/>
      <c r="U52" s="77"/>
      <c r="V52" s="77"/>
      <c r="W52" s="77"/>
      <c r="X52" s="77"/>
      <c r="Y52" s="77"/>
      <c r="Z52" s="78"/>
    </row>
    <row r="53" spans="1:26" ht="26.25" x14ac:dyDescent="0.35">
      <c r="A53" s="498"/>
      <c r="B53" s="405" t="str">
        <f>'Detailed Summary'!B77</f>
        <v>BWC3-2</v>
      </c>
      <c r="C53" s="398" t="str">
        <f>'Detailed Summary'!C77</f>
        <v>BMLWE External Audit</v>
      </c>
      <c r="D53" s="381">
        <f>'Detailed Summary'!D77</f>
        <v>0.66</v>
      </c>
      <c r="E53" s="381">
        <f>'Detailed Summary'!E77</f>
        <v>0.33999999999999997</v>
      </c>
      <c r="F53" s="383"/>
      <c r="G53" s="474"/>
      <c r="H53" s="122">
        <f t="shared" ref="H53:H56" si="3">F53</f>
        <v>0</v>
      </c>
      <c r="I53" s="122">
        <f t="shared" ref="I53:I56" si="4">H53</f>
        <v>0</v>
      </c>
      <c r="J53" s="110"/>
      <c r="K53" s="77"/>
      <c r="L53" s="474"/>
      <c r="M53" s="406"/>
      <c r="N53" s="397"/>
      <c r="O53" s="109"/>
      <c r="P53" s="474"/>
      <c r="Q53" s="407"/>
      <c r="R53" s="77"/>
      <c r="S53" s="77"/>
      <c r="T53" s="77"/>
      <c r="U53" s="77"/>
      <c r="V53" s="77"/>
      <c r="W53" s="77"/>
      <c r="X53" s="77"/>
      <c r="Y53" s="77"/>
      <c r="Z53" s="78"/>
    </row>
    <row r="54" spans="1:26" ht="26.25" x14ac:dyDescent="0.35">
      <c r="A54" s="498"/>
      <c r="B54" s="405" t="str">
        <f>'Detailed Summary'!B80</f>
        <v>BWC3-2-1</v>
      </c>
      <c r="C54" s="398" t="str">
        <f>'Detailed Summary'!C80</f>
        <v>PROJECT External Audit</v>
      </c>
      <c r="D54" s="381">
        <f>'Detailed Summary'!D80</f>
        <v>0.66</v>
      </c>
      <c r="E54" s="381">
        <f>'Detailed Summary'!E80</f>
        <v>0.33999999999999997</v>
      </c>
      <c r="F54" s="383"/>
      <c r="G54" s="474"/>
      <c r="H54" s="122">
        <f t="shared" si="3"/>
        <v>0</v>
      </c>
      <c r="I54" s="122">
        <f t="shared" si="4"/>
        <v>0</v>
      </c>
      <c r="J54" s="110"/>
      <c r="K54" s="77"/>
      <c r="L54" s="474"/>
      <c r="M54" s="406"/>
      <c r="N54" s="397"/>
      <c r="O54" s="109"/>
      <c r="P54" s="474"/>
      <c r="Q54" s="407"/>
      <c r="R54" s="77"/>
      <c r="S54" s="77"/>
      <c r="T54" s="77"/>
      <c r="U54" s="77"/>
      <c r="V54" s="77"/>
      <c r="W54" s="77"/>
      <c r="X54" s="77"/>
      <c r="Y54" s="77"/>
      <c r="Z54" s="78"/>
    </row>
    <row r="55" spans="1:26" ht="26.25" x14ac:dyDescent="0.35">
      <c r="A55" s="498"/>
      <c r="B55" s="405" t="str">
        <f>'Detailed Summary'!B86</f>
        <v>BWC3-2-2</v>
      </c>
      <c r="C55" s="398" t="str">
        <f>'Detailed Summary'!C86</f>
        <v>PROJECT External
Audit (3 years)</v>
      </c>
      <c r="D55" s="381">
        <f>'Detailed Summary'!D86</f>
        <v>0.66</v>
      </c>
      <c r="E55" s="381">
        <f>'Detailed Summary'!E86</f>
        <v>0.33999999999999997</v>
      </c>
      <c r="F55" s="383"/>
      <c r="G55" s="474"/>
      <c r="H55" s="122">
        <f t="shared" si="3"/>
        <v>0</v>
      </c>
      <c r="I55" s="122">
        <f t="shared" si="4"/>
        <v>0</v>
      </c>
      <c r="J55" s="110"/>
      <c r="K55" s="77"/>
      <c r="L55" s="474"/>
      <c r="M55" s="406"/>
      <c r="N55" s="397"/>
      <c r="O55" s="109"/>
      <c r="P55" s="474"/>
      <c r="Q55" s="407"/>
      <c r="R55" s="77"/>
      <c r="S55" s="77"/>
      <c r="T55" s="77"/>
      <c r="U55" s="77"/>
      <c r="V55" s="77"/>
      <c r="W55" s="77"/>
      <c r="X55" s="77"/>
      <c r="Y55" s="77"/>
      <c r="Z55" s="78"/>
    </row>
    <row r="56" spans="1:26" ht="39.4" x14ac:dyDescent="0.35">
      <c r="A56" s="498"/>
      <c r="B56" s="405" t="str">
        <f>'Detailed Summary'!B89</f>
        <v>BWC3-2-3</v>
      </c>
      <c r="C56" s="398" t="str">
        <f>'Detailed Summary'!C89</f>
        <v>PROJECT External
Audit (2017-2018-2019)</v>
      </c>
      <c r="D56" s="381">
        <f>'Detailed Summary'!D89</f>
        <v>0.66</v>
      </c>
      <c r="E56" s="381">
        <f>'Detailed Summary'!E89</f>
        <v>0.33999999999999997</v>
      </c>
      <c r="F56" s="383"/>
      <c r="G56" s="474"/>
      <c r="H56" s="122">
        <f t="shared" si="3"/>
        <v>0</v>
      </c>
      <c r="I56" s="122">
        <f t="shared" si="4"/>
        <v>0</v>
      </c>
      <c r="J56" s="110"/>
      <c r="K56" s="77"/>
      <c r="L56" s="474"/>
      <c r="M56" s="406"/>
      <c r="N56" s="397"/>
      <c r="O56" s="109"/>
      <c r="P56" s="474"/>
      <c r="Q56" s="407"/>
      <c r="R56" s="77"/>
      <c r="S56" s="77"/>
      <c r="T56" s="77"/>
      <c r="U56" s="77"/>
      <c r="V56" s="77"/>
      <c r="W56" s="77"/>
      <c r="X56" s="77"/>
      <c r="Y56" s="77"/>
      <c r="Z56" s="78"/>
    </row>
    <row r="57" spans="1:26" ht="39.4" x14ac:dyDescent="0.35">
      <c r="A57" s="498"/>
      <c r="B57" s="405" t="str">
        <f>'Detailed Summary'!B92</f>
        <v>BWC3-3</v>
      </c>
      <c r="C57" s="398" t="str">
        <f>'Detailed Summary'!C92</f>
        <v>Supervision of loss reduction management contract (PBC)</v>
      </c>
      <c r="D57" s="381">
        <f>'Detailed Summary'!D92</f>
        <v>1</v>
      </c>
      <c r="E57" s="381">
        <f>'Detailed Summary'!E92</f>
        <v>0</v>
      </c>
      <c r="F57" s="383"/>
      <c r="G57" s="474"/>
      <c r="H57" s="122"/>
      <c r="I57" s="122"/>
      <c r="J57" s="110"/>
      <c r="K57" s="77"/>
      <c r="L57" s="474"/>
      <c r="M57" s="406"/>
      <c r="N57" s="397"/>
      <c r="O57" s="109"/>
      <c r="P57" s="474"/>
      <c r="Q57" s="407"/>
      <c r="R57" s="77"/>
      <c r="S57" s="77"/>
      <c r="T57" s="77"/>
      <c r="U57" s="77"/>
      <c r="V57" s="77"/>
      <c r="W57" s="77"/>
      <c r="X57" s="77"/>
      <c r="Y57" s="77"/>
      <c r="Z57" s="78"/>
    </row>
    <row r="58" spans="1:26" ht="39.4" x14ac:dyDescent="0.35">
      <c r="A58" s="498"/>
      <c r="B58" s="405" t="str">
        <f>'Detailed Summary'!B95</f>
        <v>BWC3-2-4</v>
      </c>
      <c r="C58" s="398" t="str">
        <f>'Detailed Summary'!C95</f>
        <v>BMLWE External Audit
(2016)</v>
      </c>
      <c r="D58" s="381">
        <f>'Detailed Summary'!D95</f>
        <v>1</v>
      </c>
      <c r="E58" s="381">
        <f>'Detailed Summary'!E95</f>
        <v>0</v>
      </c>
      <c r="F58" s="383"/>
      <c r="G58" s="474"/>
      <c r="H58" s="122"/>
      <c r="I58" s="122"/>
      <c r="J58" s="110"/>
      <c r="K58" s="77"/>
      <c r="L58" s="474"/>
      <c r="M58" s="406"/>
      <c r="N58" s="397"/>
      <c r="O58" s="109"/>
      <c r="P58" s="474"/>
      <c r="Q58" s="407"/>
      <c r="R58" s="77"/>
      <c r="S58" s="77"/>
      <c r="T58" s="77"/>
      <c r="U58" s="77"/>
      <c r="V58" s="77"/>
      <c r="W58" s="77"/>
      <c r="X58" s="77"/>
      <c r="Y58" s="77"/>
      <c r="Z58" s="78"/>
    </row>
    <row r="59" spans="1:26" ht="39.4" x14ac:dyDescent="0.35">
      <c r="A59" s="498"/>
      <c r="B59" s="405" t="str">
        <f>'Detailed Summary'!B98</f>
        <v>BWC3-2-5</v>
      </c>
      <c r="C59" s="398" t="str">
        <f>'Detailed Summary'!C98</f>
        <v>BMLWE External Audit
(2017-2018-2019)</v>
      </c>
      <c r="D59" s="381">
        <f>'Detailed Summary'!D98</f>
        <v>1</v>
      </c>
      <c r="E59" s="398">
        <f>'Detailed Summary'!E98</f>
        <v>0</v>
      </c>
      <c r="F59" s="383"/>
      <c r="G59" s="474"/>
      <c r="H59" s="122"/>
      <c r="I59" s="122"/>
      <c r="J59" s="110"/>
      <c r="K59" s="77"/>
      <c r="L59" s="474"/>
      <c r="M59" s="406"/>
      <c r="N59" s="397"/>
      <c r="O59" s="109"/>
      <c r="P59" s="474"/>
      <c r="Q59" s="407"/>
      <c r="R59" s="77"/>
      <c r="S59" s="77"/>
      <c r="T59" s="77"/>
      <c r="U59" s="77"/>
      <c r="V59" s="77"/>
      <c r="W59" s="77"/>
      <c r="X59" s="77"/>
      <c r="Y59" s="77"/>
      <c r="Z59" s="78"/>
    </row>
    <row r="60" spans="1:26" x14ac:dyDescent="0.35">
      <c r="A60" s="498"/>
      <c r="B60" s="405" t="str">
        <f>'Detailed Summary'!B101</f>
        <v>BWC3-5</v>
      </c>
      <c r="C60" s="398" t="str">
        <f>'Detailed Summary'!C101</f>
        <v>Accounting consultant</v>
      </c>
      <c r="D60" s="381">
        <f>'Detailed Summary'!D101</f>
        <v>1</v>
      </c>
      <c r="E60" s="398">
        <f>'Detailed Summary'!E101</f>
        <v>0</v>
      </c>
      <c r="F60" s="383"/>
      <c r="G60" s="474"/>
      <c r="H60" s="122"/>
      <c r="I60" s="122"/>
      <c r="J60" s="110"/>
      <c r="K60" s="77"/>
      <c r="L60" s="474"/>
      <c r="M60" s="406"/>
      <c r="N60" s="397"/>
      <c r="O60" s="109"/>
      <c r="P60" s="474"/>
      <c r="Q60" s="407"/>
      <c r="R60" s="77"/>
      <c r="S60" s="77"/>
      <c r="T60" s="77"/>
      <c r="U60" s="77"/>
      <c r="V60" s="77"/>
      <c r="W60" s="77"/>
      <c r="X60" s="77"/>
      <c r="Y60" s="77"/>
      <c r="Z60" s="78"/>
    </row>
    <row r="61" spans="1:26" x14ac:dyDescent="0.35">
      <c r="A61" s="498"/>
      <c r="B61" s="405" t="str">
        <f>'Detailed Summary'!B151</f>
        <v>BWC3-4</v>
      </c>
      <c r="C61" s="405" t="str">
        <f>'Detailed Summary'!C151</f>
        <v>PMU BMLWE</v>
      </c>
      <c r="D61" s="382">
        <f>'Detailed Summary'!D151</f>
        <v>1</v>
      </c>
      <c r="E61" s="382">
        <f>'Detailed Summary'!E151</f>
        <v>0</v>
      </c>
      <c r="F61" s="384"/>
      <c r="G61" s="474"/>
      <c r="H61" s="122"/>
      <c r="I61" s="122"/>
      <c r="J61" s="110"/>
      <c r="K61" s="77"/>
      <c r="L61" s="474"/>
      <c r="M61" s="406"/>
      <c r="N61" s="397"/>
      <c r="O61" s="109"/>
      <c r="P61" s="474"/>
      <c r="Q61" s="407"/>
      <c r="R61" s="77"/>
      <c r="S61" s="77"/>
      <c r="T61" s="77"/>
      <c r="U61" s="77"/>
      <c r="V61" s="77"/>
      <c r="W61" s="77"/>
      <c r="X61" s="77"/>
      <c r="Y61" s="77"/>
      <c r="Z61" s="78"/>
    </row>
    <row r="62" spans="1:26" ht="27.75" customHeight="1" x14ac:dyDescent="0.35">
      <c r="A62" s="498"/>
      <c r="B62" s="405" t="s">
        <v>499</v>
      </c>
      <c r="C62" s="121" t="str">
        <f>'Goods and WorksPP'!D34</f>
        <v>Scada System for the Greater Beirut Project</v>
      </c>
      <c r="D62" s="110">
        <v>0.66</v>
      </c>
      <c r="E62" s="397">
        <v>0.34</v>
      </c>
      <c r="F62" s="109"/>
      <c r="G62" s="474"/>
      <c r="H62" s="122"/>
      <c r="I62" s="122"/>
      <c r="J62" s="397">
        <f>'Goods and WorksPP'!AN34</f>
        <v>0.8</v>
      </c>
      <c r="K62" s="77">
        <f>'Goods and WorksPP'!AI34</f>
        <v>0</v>
      </c>
      <c r="L62" s="474"/>
      <c r="M62" s="406"/>
      <c r="N62" s="397"/>
      <c r="O62" s="109"/>
      <c r="P62" s="474"/>
      <c r="Q62" s="407"/>
      <c r="R62" s="77">
        <f>H62*D62</f>
        <v>0</v>
      </c>
      <c r="S62" s="77">
        <f>H62-R62</f>
        <v>0</v>
      </c>
      <c r="T62" s="77"/>
      <c r="U62" s="77">
        <f>'Goods and WorksPP'!AJ34</f>
        <v>0</v>
      </c>
      <c r="V62" s="77">
        <f>'Goods and WorksPP'!AK34</f>
        <v>0</v>
      </c>
      <c r="W62" s="77"/>
      <c r="X62" s="77">
        <f>R62-U62</f>
        <v>0</v>
      </c>
      <c r="Y62" s="77">
        <f>S62-V62</f>
        <v>0</v>
      </c>
      <c r="Z62" s="78"/>
    </row>
    <row r="63" spans="1:26" ht="79.5" customHeight="1" x14ac:dyDescent="0.35">
      <c r="A63" s="499"/>
      <c r="B63" s="405" t="s">
        <v>547</v>
      </c>
      <c r="C63" s="121" t="str">
        <f>'Goods and WorksPP'!D37</f>
        <v>Supply, installaion and commissioning of water meters and data acquisition in a pilot zone in Beirut project</v>
      </c>
      <c r="D63" s="110">
        <v>0.66</v>
      </c>
      <c r="E63" s="397">
        <v>0.34</v>
      </c>
      <c r="F63" s="109"/>
      <c r="G63" s="474"/>
      <c r="H63" s="122"/>
      <c r="I63" s="122"/>
      <c r="J63" s="110">
        <f>'Goods and WorksPP'!AN37</f>
        <v>0</v>
      </c>
      <c r="K63" s="77">
        <f>'Goods and WorksPP'!AI37</f>
        <v>0</v>
      </c>
      <c r="L63" s="474"/>
      <c r="M63" s="406"/>
      <c r="N63" s="397"/>
      <c r="O63" s="109"/>
      <c r="P63" s="474"/>
      <c r="Q63" s="407"/>
      <c r="R63" s="77">
        <f>H63*D63</f>
        <v>0</v>
      </c>
      <c r="S63" s="77">
        <f>H63-R63</f>
        <v>0</v>
      </c>
      <c r="T63" s="77"/>
      <c r="U63" s="77">
        <f>'Goods and WorksPP'!AJ37</f>
        <v>0</v>
      </c>
      <c r="V63" s="77">
        <f>'Goods and WorksPP'!AK37</f>
        <v>0</v>
      </c>
      <c r="W63" s="77"/>
      <c r="X63" s="77">
        <f>R63-U63</f>
        <v>0</v>
      </c>
      <c r="Y63" s="77">
        <f>S63-V63</f>
        <v>0</v>
      </c>
      <c r="Z63" s="78">
        <v>0</v>
      </c>
    </row>
    <row r="64" spans="1:26" ht="26.25" x14ac:dyDescent="0.35">
      <c r="A64" s="123"/>
      <c r="B64" s="405" t="str">
        <f>'Detailed Summary'!B45</f>
        <v>BWW3-4</v>
      </c>
      <c r="C64" s="398" t="str">
        <f>'Detailed Summary'!C45</f>
        <v>DMA and leak detection</v>
      </c>
      <c r="D64" s="110">
        <f>'Detailed Summary'!D45</f>
        <v>1</v>
      </c>
      <c r="E64" s="397">
        <f>'Detailed Summary'!E45</f>
        <v>0</v>
      </c>
      <c r="F64" s="384"/>
      <c r="G64" s="474"/>
      <c r="H64" s="122"/>
      <c r="I64" s="122"/>
      <c r="J64" s="110"/>
      <c r="K64" s="77"/>
      <c r="L64" s="474"/>
      <c r="M64" s="406"/>
      <c r="N64" s="397"/>
      <c r="O64" s="109"/>
      <c r="P64" s="474"/>
      <c r="Q64" s="407"/>
      <c r="R64" s="77"/>
      <c r="S64" s="77"/>
      <c r="T64" s="77"/>
      <c r="U64" s="77"/>
      <c r="V64" s="77"/>
      <c r="W64" s="77"/>
      <c r="X64" s="77"/>
      <c r="Y64" s="77"/>
      <c r="Z64" s="78"/>
    </row>
    <row r="65" spans="1:26" ht="26.25" x14ac:dyDescent="0.35">
      <c r="A65" s="123"/>
      <c r="B65" s="405" t="str">
        <f>'Detailed Summary'!B48</f>
        <v>BWW3-5</v>
      </c>
      <c r="C65" s="398" t="str">
        <f>'Detailed Summary'!C48</f>
        <v>Coastal Metn DMA and leak detection</v>
      </c>
      <c r="D65" s="110">
        <f>'Detailed Summary'!D48</f>
        <v>1</v>
      </c>
      <c r="E65" s="397">
        <f>'Detailed Summary'!E48</f>
        <v>0</v>
      </c>
      <c r="F65" s="384"/>
      <c r="G65" s="474"/>
      <c r="H65" s="122"/>
      <c r="I65" s="122"/>
      <c r="J65" s="110"/>
      <c r="K65" s="77"/>
      <c r="L65" s="474"/>
      <c r="M65" s="406"/>
      <c r="N65" s="397"/>
      <c r="O65" s="109"/>
      <c r="P65" s="474"/>
      <c r="Q65" s="407"/>
      <c r="R65" s="77"/>
      <c r="S65" s="77"/>
      <c r="T65" s="77"/>
      <c r="U65" s="77"/>
      <c r="V65" s="77"/>
      <c r="W65" s="77"/>
      <c r="X65" s="77"/>
      <c r="Y65" s="77"/>
      <c r="Z65" s="78"/>
    </row>
    <row r="66" spans="1:26" x14ac:dyDescent="0.35">
      <c r="A66" s="123"/>
      <c r="B66" s="405" t="str">
        <f>'Detailed Summary'!B51</f>
        <v>BWW3-6</v>
      </c>
      <c r="C66" s="398" t="str">
        <f>'Detailed Summary'!C51</f>
        <v>Water Meters</v>
      </c>
      <c r="D66" s="110">
        <f>'Detailed Summary'!D51</f>
        <v>1</v>
      </c>
      <c r="E66" s="397">
        <f>'Detailed Summary'!E51</f>
        <v>0</v>
      </c>
      <c r="F66" s="384"/>
      <c r="G66" s="474"/>
      <c r="H66" s="122"/>
      <c r="I66" s="122"/>
      <c r="J66" s="110"/>
      <c r="K66" s="77"/>
      <c r="L66" s="474"/>
      <c r="M66" s="406"/>
      <c r="N66" s="397"/>
      <c r="O66" s="109"/>
      <c r="P66" s="474"/>
      <c r="Q66" s="407"/>
      <c r="R66" s="77"/>
      <c r="S66" s="77"/>
      <c r="T66" s="77"/>
      <c r="U66" s="77"/>
      <c r="V66" s="77"/>
      <c r="W66" s="77"/>
      <c r="X66" s="77"/>
      <c r="Y66" s="77"/>
      <c r="Z66" s="78"/>
    </row>
    <row r="67" spans="1:26" ht="26.25" x14ac:dyDescent="0.35">
      <c r="A67" s="123"/>
      <c r="B67" s="405" t="str">
        <f>'Detailed Summary'!B54</f>
        <v>BWW3-7</v>
      </c>
      <c r="C67" s="398" t="str">
        <f>'Detailed Summary'!C54</f>
        <v>Coastal Metn Water Meters</v>
      </c>
      <c r="D67" s="110">
        <f>'Detailed Summary'!D54</f>
        <v>1</v>
      </c>
      <c r="E67" s="397">
        <f>'Detailed Summary'!E54</f>
        <v>0</v>
      </c>
      <c r="F67" s="384"/>
      <c r="G67" s="474"/>
      <c r="H67" s="122"/>
      <c r="I67" s="122"/>
      <c r="J67" s="110"/>
      <c r="K67" s="77"/>
      <c r="L67" s="474"/>
      <c r="M67" s="406"/>
      <c r="N67" s="397"/>
      <c r="O67" s="109"/>
      <c r="P67" s="474"/>
      <c r="Q67" s="407"/>
      <c r="R67" s="77"/>
      <c r="S67" s="77"/>
      <c r="T67" s="77"/>
      <c r="U67" s="77"/>
      <c r="V67" s="77"/>
      <c r="W67" s="77"/>
      <c r="X67" s="77"/>
      <c r="Y67" s="77"/>
      <c r="Z67" s="78"/>
    </row>
    <row r="68" spans="1:26" ht="39.4" x14ac:dyDescent="0.35">
      <c r="A68" s="123"/>
      <c r="B68" s="405" t="str">
        <f>'Detailed Summary'!B57</f>
        <v>BWW3-8</v>
      </c>
      <c r="C68" s="398" t="str">
        <f>'Detailed Summary'!C57</f>
        <v>Water Loss reduction and management in Achrafieh</v>
      </c>
      <c r="D68" s="110">
        <f>'Detailed Summary'!D57</f>
        <v>1</v>
      </c>
      <c r="E68" s="397">
        <f>'Detailed Summary'!E57</f>
        <v>0</v>
      </c>
      <c r="F68" s="384"/>
      <c r="G68" s="475"/>
      <c r="H68" s="122"/>
      <c r="I68" s="122"/>
      <c r="J68" s="110"/>
      <c r="K68" s="77"/>
      <c r="L68" s="475"/>
      <c r="M68" s="406"/>
      <c r="N68" s="397"/>
      <c r="O68" s="109"/>
      <c r="P68" s="475"/>
      <c r="Q68" s="408"/>
      <c r="R68" s="77"/>
      <c r="S68" s="77"/>
      <c r="T68" s="77"/>
      <c r="U68" s="77"/>
      <c r="V68" s="77"/>
      <c r="W68" s="77"/>
      <c r="X68" s="77"/>
      <c r="Y68" s="77"/>
      <c r="Z68" s="78"/>
    </row>
    <row r="69" spans="1:26" s="128" customFormat="1" x14ac:dyDescent="0.35">
      <c r="A69" s="123"/>
      <c r="B69" s="541" t="s">
        <v>460</v>
      </c>
      <c r="C69" s="541"/>
      <c r="D69" s="541"/>
      <c r="E69" s="541"/>
      <c r="F69" s="124"/>
      <c r="G69" s="124">
        <f>SUM(G50:G68)</f>
        <v>0</v>
      </c>
      <c r="H69" s="124"/>
      <c r="I69" s="124"/>
      <c r="J69" s="125"/>
      <c r="K69" s="124"/>
      <c r="L69" s="124"/>
      <c r="M69" s="126"/>
      <c r="N69" s="125"/>
      <c r="O69" s="124"/>
      <c r="P69" s="124"/>
      <c r="Q69" s="125"/>
      <c r="R69" s="124"/>
      <c r="S69" s="124"/>
      <c r="T69" s="124"/>
      <c r="U69" s="124"/>
      <c r="V69" s="124"/>
      <c r="W69" s="124"/>
      <c r="X69" s="124"/>
      <c r="Y69" s="124"/>
      <c r="Z69" s="127"/>
    </row>
    <row r="71" spans="1:26" s="128" customFormat="1" ht="27" customHeight="1" thickBot="1" x14ac:dyDescent="0.4">
      <c r="A71" s="133"/>
      <c r="B71" s="542" t="s">
        <v>461</v>
      </c>
      <c r="C71" s="542"/>
      <c r="D71" s="542"/>
      <c r="E71" s="542"/>
      <c r="F71" s="129"/>
      <c r="G71" s="129"/>
      <c r="H71" s="129"/>
      <c r="I71" s="129"/>
      <c r="J71" s="130"/>
      <c r="K71" s="129"/>
      <c r="L71" s="129"/>
      <c r="M71" s="131"/>
      <c r="N71" s="130"/>
      <c r="O71" s="129"/>
      <c r="P71" s="129"/>
      <c r="Q71" s="130"/>
      <c r="R71" s="129"/>
      <c r="S71" s="129"/>
      <c r="T71" s="129"/>
      <c r="U71" s="129"/>
      <c r="V71" s="129"/>
      <c r="W71" s="129"/>
      <c r="X71" s="129"/>
      <c r="Y71" s="129"/>
      <c r="Z71" s="132"/>
    </row>
  </sheetData>
  <mergeCells count="298">
    <mergeCell ref="P50:P68"/>
    <mergeCell ref="B5:Z5"/>
    <mergeCell ref="W6:W8"/>
    <mergeCell ref="T21:T23"/>
    <mergeCell ref="T18:T20"/>
    <mergeCell ref="T15:T17"/>
    <mergeCell ref="T12:T14"/>
    <mergeCell ref="T9:T11"/>
    <mergeCell ref="T27:T29"/>
    <mergeCell ref="T30:T32"/>
    <mergeCell ref="Z6:Z8"/>
    <mergeCell ref="Z9:Z11"/>
    <mergeCell ref="Z12:Z14"/>
    <mergeCell ref="Z15:Z17"/>
    <mergeCell ref="Z18:Z20"/>
    <mergeCell ref="Z21:Z23"/>
    <mergeCell ref="Z27:Z29"/>
    <mergeCell ref="Z30:Z32"/>
    <mergeCell ref="N21:N23"/>
    <mergeCell ref="J27:J29"/>
    <mergeCell ref="J30:J32"/>
    <mergeCell ref="H27:H29"/>
    <mergeCell ref="K6:K8"/>
    <mergeCell ref="J15:J17"/>
    <mergeCell ref="Z33:Z35"/>
    <mergeCell ref="Z36:Z38"/>
    <mergeCell ref="Z39:Z41"/>
    <mergeCell ref="Z42:Z44"/>
    <mergeCell ref="Z45:Z47"/>
    <mergeCell ref="T6:T8"/>
    <mergeCell ref="X39:X41"/>
    <mergeCell ref="V15:V17"/>
    <mergeCell ref="X42:X44"/>
    <mergeCell ref="Y6:Y8"/>
    <mergeCell ref="T33:T35"/>
    <mergeCell ref="T36:T38"/>
    <mergeCell ref="T39:T41"/>
    <mergeCell ref="T42:T44"/>
    <mergeCell ref="T45:T47"/>
    <mergeCell ref="Y33:Y35"/>
    <mergeCell ref="Y36:Y38"/>
    <mergeCell ref="Y39:Y41"/>
    <mergeCell ref="Y42:Y44"/>
    <mergeCell ref="Y45:Y47"/>
    <mergeCell ref="Y18:Y20"/>
    <mergeCell ref="Y30:Y32"/>
    <mergeCell ref="Y27:Y29"/>
    <mergeCell ref="V45:V47"/>
    <mergeCell ref="A6:A25"/>
    <mergeCell ref="A50:A63"/>
    <mergeCell ref="B25:E25"/>
    <mergeCell ref="I39:I41"/>
    <mergeCell ref="J39:J41"/>
    <mergeCell ref="K39:K41"/>
    <mergeCell ref="H9:H11"/>
    <mergeCell ref="I9:I11"/>
    <mergeCell ref="J9:J11"/>
    <mergeCell ref="I15:I17"/>
    <mergeCell ref="H15:H17"/>
    <mergeCell ref="F42:F44"/>
    <mergeCell ref="H6:H8"/>
    <mergeCell ref="H36:H38"/>
    <mergeCell ref="F9:F11"/>
    <mergeCell ref="G9:G11"/>
    <mergeCell ref="G42:G44"/>
    <mergeCell ref="A27:A47"/>
    <mergeCell ref="K27:K29"/>
    <mergeCell ref="G39:G41"/>
    <mergeCell ref="I45:I47"/>
    <mergeCell ref="J18:J20"/>
    <mergeCell ref="J21:J23"/>
    <mergeCell ref="J6:J8"/>
    <mergeCell ref="D18:D20"/>
    <mergeCell ref="H33:H35"/>
    <mergeCell ref="M18:M20"/>
    <mergeCell ref="I6:I8"/>
    <mergeCell ref="F27:F29"/>
    <mergeCell ref="G27:G38"/>
    <mergeCell ref="G6:G8"/>
    <mergeCell ref="F12:F14"/>
    <mergeCell ref="F21:F23"/>
    <mergeCell ref="G15:G17"/>
    <mergeCell ref="F18:F20"/>
    <mergeCell ref="F15:F17"/>
    <mergeCell ref="I21:I23"/>
    <mergeCell ref="I18:I20"/>
    <mergeCell ref="G21:G23"/>
    <mergeCell ref="H18:H20"/>
    <mergeCell ref="H21:H23"/>
    <mergeCell ref="G18:G20"/>
    <mergeCell ref="J36:J38"/>
    <mergeCell ref="J33:J35"/>
    <mergeCell ref="E18:E20"/>
    <mergeCell ref="M21:M23"/>
    <mergeCell ref="X45:X47"/>
    <mergeCell ref="B45:B47"/>
    <mergeCell ref="C45:C47"/>
    <mergeCell ref="D45:D47"/>
    <mergeCell ref="E45:E47"/>
    <mergeCell ref="R45:R47"/>
    <mergeCell ref="F45:F47"/>
    <mergeCell ref="G45:G47"/>
    <mergeCell ref="N45:N47"/>
    <mergeCell ref="O45:O47"/>
    <mergeCell ref="Q45:Q47"/>
    <mergeCell ref="J45:J47"/>
    <mergeCell ref="K45:K47"/>
    <mergeCell ref="P45:P47"/>
    <mergeCell ref="L45:L47"/>
    <mergeCell ref="M45:M47"/>
    <mergeCell ref="H45:H47"/>
    <mergeCell ref="S45:S47"/>
    <mergeCell ref="U45:U47"/>
    <mergeCell ref="Q42:Q44"/>
    <mergeCell ref="R39:R41"/>
    <mergeCell ref="S39:S41"/>
    <mergeCell ref="U39:U41"/>
    <mergeCell ref="R42:R44"/>
    <mergeCell ref="S42:S44"/>
    <mergeCell ref="U42:U44"/>
    <mergeCell ref="P39:P41"/>
    <mergeCell ref="N39:N41"/>
    <mergeCell ref="O39:O41"/>
    <mergeCell ref="Q39:Q41"/>
    <mergeCell ref="P42:P44"/>
    <mergeCell ref="B69:E69"/>
    <mergeCell ref="B71:E71"/>
    <mergeCell ref="I42:I44"/>
    <mergeCell ref="M39:M41"/>
    <mergeCell ref="O42:O44"/>
    <mergeCell ref="H42:H44"/>
    <mergeCell ref="F39:F41"/>
    <mergeCell ref="M42:M44"/>
    <mergeCell ref="L39:L41"/>
    <mergeCell ref="L50:L68"/>
    <mergeCell ref="B48:E48"/>
    <mergeCell ref="G50:G68"/>
    <mergeCell ref="V39:V41"/>
    <mergeCell ref="X21:X23"/>
    <mergeCell ref="Y21:Y23"/>
    <mergeCell ref="B39:B41"/>
    <mergeCell ref="C39:C41"/>
    <mergeCell ref="D39:D41"/>
    <mergeCell ref="E39:E41"/>
    <mergeCell ref="H39:H41"/>
    <mergeCell ref="R21:R23"/>
    <mergeCell ref="U21:U23"/>
    <mergeCell ref="V21:V23"/>
    <mergeCell ref="E33:E35"/>
    <mergeCell ref="L27:L38"/>
    <mergeCell ref="O27:O29"/>
    <mergeCell ref="O30:O32"/>
    <mergeCell ref="O33:O35"/>
    <mergeCell ref="U30:U32"/>
    <mergeCell ref="V30:V32"/>
    <mergeCell ref="N36:N38"/>
    <mergeCell ref="O21:O23"/>
    <mergeCell ref="P21:P23"/>
    <mergeCell ref="B21:B23"/>
    <mergeCell ref="C21:C23"/>
    <mergeCell ref="D21:D23"/>
    <mergeCell ref="X36:X38"/>
    <mergeCell ref="X33:X35"/>
    <mergeCell ref="X30:X32"/>
    <mergeCell ref="R30:R32"/>
    <mergeCell ref="S30:S32"/>
    <mergeCell ref="S27:S29"/>
    <mergeCell ref="U27:U29"/>
    <mergeCell ref="V27:V29"/>
    <mergeCell ref="X27:X29"/>
    <mergeCell ref="Q21:Q23"/>
    <mergeCell ref="K21:K23"/>
    <mergeCell ref="L18:L20"/>
    <mergeCell ref="O18:O20"/>
    <mergeCell ref="S21:S23"/>
    <mergeCell ref="V36:V38"/>
    <mergeCell ref="Q27:Q38"/>
    <mergeCell ref="P27:P38"/>
    <mergeCell ref="O36:O38"/>
    <mergeCell ref="K30:K32"/>
    <mergeCell ref="K33:K35"/>
    <mergeCell ref="N33:N35"/>
    <mergeCell ref="Y9:Y11"/>
    <mergeCell ref="B15:B17"/>
    <mergeCell ref="C15:C17"/>
    <mergeCell ref="D15:D17"/>
    <mergeCell ref="E15:E17"/>
    <mergeCell ref="R15:R17"/>
    <mergeCell ref="S15:S17"/>
    <mergeCell ref="M9:M11"/>
    <mergeCell ref="L12:L14"/>
    <mergeCell ref="O9:O11"/>
    <mergeCell ref="O12:O14"/>
    <mergeCell ref="Q9:Q11"/>
    <mergeCell ref="M12:M14"/>
    <mergeCell ref="H12:H14"/>
    <mergeCell ref="O15:O17"/>
    <mergeCell ref="N15:N17"/>
    <mergeCell ref="L15:L17"/>
    <mergeCell ref="K15:K17"/>
    <mergeCell ref="M15:M17"/>
    <mergeCell ref="P15:P17"/>
    <mergeCell ref="J12:J14"/>
    <mergeCell ref="Y15:Y17"/>
    <mergeCell ref="V42:V44"/>
    <mergeCell ref="X12:X14"/>
    <mergeCell ref="Y12:Y14"/>
    <mergeCell ref="B42:B44"/>
    <mergeCell ref="C42:C44"/>
    <mergeCell ref="D42:D44"/>
    <mergeCell ref="E42:E44"/>
    <mergeCell ref="R12:R14"/>
    <mergeCell ref="S12:S14"/>
    <mergeCell ref="U12:U14"/>
    <mergeCell ref="V12:V14"/>
    <mergeCell ref="B12:B14"/>
    <mergeCell ref="C12:C14"/>
    <mergeCell ref="D12:D14"/>
    <mergeCell ref="E12:E14"/>
    <mergeCell ref="U18:U20"/>
    <mergeCell ref="V18:V20"/>
    <mergeCell ref="G12:G14"/>
    <mergeCell ref="Q12:Q14"/>
    <mergeCell ref="B18:B20"/>
    <mergeCell ref="C18:C20"/>
    <mergeCell ref="R36:R38"/>
    <mergeCell ref="S36:S38"/>
    <mergeCell ref="U36:U38"/>
    <mergeCell ref="S6:S8"/>
    <mergeCell ref="U6:U8"/>
    <mergeCell ref="V6:V8"/>
    <mergeCell ref="X6:X8"/>
    <mergeCell ref="N18:N20"/>
    <mergeCell ref="N12:N14"/>
    <mergeCell ref="N9:N11"/>
    <mergeCell ref="N6:N8"/>
    <mergeCell ref="U9:U11"/>
    <mergeCell ref="V9:V11"/>
    <mergeCell ref="X9:X11"/>
    <mergeCell ref="R9:R11"/>
    <mergeCell ref="S9:S11"/>
    <mergeCell ref="Q15:Q17"/>
    <mergeCell ref="X15:X17"/>
    <mergeCell ref="X18:X20"/>
    <mergeCell ref="O6:O8"/>
    <mergeCell ref="Q6:Q8"/>
    <mergeCell ref="U15:U17"/>
    <mergeCell ref="R18:R20"/>
    <mergeCell ref="S18:S20"/>
    <mergeCell ref="Q18:Q20"/>
    <mergeCell ref="B36:B38"/>
    <mergeCell ref="C36:C38"/>
    <mergeCell ref="D36:D38"/>
    <mergeCell ref="E36:E38"/>
    <mergeCell ref="R33:R35"/>
    <mergeCell ref="S33:S35"/>
    <mergeCell ref="U33:U35"/>
    <mergeCell ref="V33:V35"/>
    <mergeCell ref="B33:B35"/>
    <mergeCell ref="C33:C35"/>
    <mergeCell ref="D33:D35"/>
    <mergeCell ref="F36:F38"/>
    <mergeCell ref="F33:F35"/>
    <mergeCell ref="M27:M38"/>
    <mergeCell ref="B27:B29"/>
    <mergeCell ref="C27:C29"/>
    <mergeCell ref="D27:D29"/>
    <mergeCell ref="E27:E29"/>
    <mergeCell ref="R27:R29"/>
    <mergeCell ref="N30:N32"/>
    <mergeCell ref="N27:N29"/>
    <mergeCell ref="K36:K38"/>
    <mergeCell ref="H30:H32"/>
    <mergeCell ref="I27:I38"/>
    <mergeCell ref="B6:B8"/>
    <mergeCell ref="C6:C8"/>
    <mergeCell ref="D6:D8"/>
    <mergeCell ref="E6:E8"/>
    <mergeCell ref="R6:R8"/>
    <mergeCell ref="B30:B32"/>
    <mergeCell ref="C30:C32"/>
    <mergeCell ref="D30:D32"/>
    <mergeCell ref="E30:E32"/>
    <mergeCell ref="B9:B11"/>
    <mergeCell ref="C9:C11"/>
    <mergeCell ref="D9:D11"/>
    <mergeCell ref="E9:E11"/>
    <mergeCell ref="F30:F32"/>
    <mergeCell ref="M6:M8"/>
    <mergeCell ref="L6:L8"/>
    <mergeCell ref="F6:F8"/>
    <mergeCell ref="L9:L11"/>
    <mergeCell ref="K12:K14"/>
    <mergeCell ref="K9:K11"/>
    <mergeCell ref="I12:I14"/>
    <mergeCell ref="L21:L23"/>
    <mergeCell ref="K18:K20"/>
    <mergeCell ref="E21:E23"/>
  </mergeCells>
  <pageMargins left="0.74803149606299202" right="0.74803149606299202" top="0.66" bottom="0.511811023622047" header="0.118110236220472" footer="0.196850393700787"/>
  <pageSetup paperSize="8" scale="52" fitToHeight="0" orientation="landscape" r:id="rId1"/>
  <headerFooter alignWithMargins="0">
    <oddHeader>&amp;C&amp;"Times New Roman,Bold"&amp;18MIDTERM REVIEW
GBWSP REPORT&amp;R&amp;"Times New Roman,Regular"&amp;D</oddHeader>
    <oddFooter>&amp;C&amp;"Times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autoPageBreaks="0" fitToPage="1"/>
  </sheetPr>
  <dimension ref="A1:AW89"/>
  <sheetViews>
    <sheetView showGridLines="0" topLeftCell="A5" zoomScale="115" zoomScaleNormal="115" workbookViewId="0">
      <pane xSplit="4" ySplit="1" topLeftCell="E44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F44" sqref="F44:F63"/>
    </sheetView>
  </sheetViews>
  <sheetFormatPr defaultColWidth="8.86328125" defaultRowHeight="12.75" x14ac:dyDescent="0.35"/>
  <cols>
    <col min="1" max="1" width="8.86328125" style="143" customWidth="1"/>
    <col min="2" max="2" width="4.3984375" style="155" customWidth="1"/>
    <col min="3" max="3" width="12.59765625" style="143" customWidth="1"/>
    <col min="4" max="4" width="21.265625" style="143" customWidth="1"/>
    <col min="5" max="5" width="11.265625" style="156" customWidth="1"/>
    <col min="6" max="6" width="16" style="157" customWidth="1"/>
    <col min="7" max="7" width="11.1328125" style="158" customWidth="1"/>
    <col min="8" max="8" width="10.1328125" style="158" customWidth="1"/>
    <col min="9" max="10" width="16" style="157" hidden="1" customWidth="1"/>
    <col min="11" max="11" width="10.59765625" style="143" customWidth="1"/>
    <col min="12" max="12" width="8.86328125" style="143" customWidth="1"/>
    <col min="13" max="13" width="11" style="143" customWidth="1"/>
    <col min="14" max="15" width="10.86328125" style="143" customWidth="1"/>
    <col min="16" max="16" width="15.265625" style="162" customWidth="1"/>
    <col min="17" max="18" width="13.86328125" style="162" customWidth="1"/>
    <col min="19" max="19" width="13.86328125" style="162" hidden="1" customWidth="1"/>
    <col min="20" max="25" width="13.86328125" style="162" customWidth="1"/>
    <col min="26" max="26" width="14.3984375" style="163" customWidth="1"/>
    <col min="27" max="27" width="9.59765625" style="164" customWidth="1"/>
    <col min="28" max="28" width="14" style="164" customWidth="1"/>
    <col min="29" max="29" width="13.73046875" style="164" hidden="1" customWidth="1"/>
    <col min="30" max="31" width="13" style="164" hidden="1" customWidth="1"/>
    <col min="32" max="32" width="9.3984375" style="143" customWidth="1"/>
    <col min="33" max="33" width="14.73046875" style="143" customWidth="1"/>
    <col min="34" max="34" width="13.86328125" style="162" customWidth="1"/>
    <col min="35" max="35" width="16.73046875" style="143" customWidth="1"/>
    <col min="36" max="36" width="15.86328125" style="143" customWidth="1"/>
    <col min="37" max="37" width="14.59765625" style="143" customWidth="1"/>
    <col min="38" max="38" width="18.59765625" style="143" hidden="1" customWidth="1"/>
    <col min="39" max="40" width="14" style="165" customWidth="1"/>
    <col min="41" max="41" width="16.73046875" style="143" customWidth="1"/>
    <col min="42" max="42" width="15.86328125" style="143" customWidth="1"/>
    <col min="43" max="44" width="15" style="143" customWidth="1"/>
    <col min="45" max="46" width="15" style="165" customWidth="1"/>
    <col min="47" max="47" width="37.59765625" style="143" hidden="1" customWidth="1"/>
    <col min="48" max="48" width="8.86328125" style="143"/>
    <col min="49" max="49" width="11.265625" style="143" bestFit="1" customWidth="1"/>
    <col min="50" max="16384" width="8.86328125" style="143"/>
  </cols>
  <sheetData>
    <row r="1" spans="1:49" ht="17.649999999999999" hidden="1" x14ac:dyDescent="0.5">
      <c r="A1" s="135"/>
      <c r="B1" s="136" t="s">
        <v>72</v>
      </c>
      <c r="C1" s="137"/>
      <c r="D1" s="137"/>
      <c r="E1" s="138"/>
      <c r="F1" s="139"/>
      <c r="G1" s="140"/>
      <c r="H1" s="140"/>
      <c r="I1" s="139"/>
      <c r="J1" s="139"/>
      <c r="K1" s="137"/>
      <c r="L1" s="137"/>
      <c r="M1" s="137"/>
      <c r="N1" s="137"/>
      <c r="O1" s="137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2"/>
      <c r="AA1" s="137"/>
      <c r="AB1" s="137"/>
      <c r="AC1" s="137"/>
      <c r="AD1" s="137"/>
      <c r="AE1" s="137"/>
      <c r="AF1" s="137"/>
      <c r="AG1" s="137"/>
      <c r="AH1" s="141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</row>
    <row r="2" spans="1:49" ht="13.15" hidden="1" x14ac:dyDescent="0.4">
      <c r="A2" s="144"/>
      <c r="B2" s="145" t="str">
        <f>IF(projID="enter Project ID here","Enter Project information on the General sheet",country&amp;" "&amp;projID&amp;": "&amp;projectName&amp;" "&amp;lncr)</f>
        <v>Lebanon IBRD 7010: Greater Beirut Water Supply Project 7967-LE/</v>
      </c>
      <c r="C2" s="146"/>
      <c r="D2" s="146"/>
      <c r="E2" s="147"/>
      <c r="F2" s="148"/>
      <c r="G2" s="149"/>
      <c r="H2" s="149"/>
      <c r="I2" s="148"/>
      <c r="J2" s="148"/>
      <c r="K2" s="146"/>
      <c r="L2" s="146"/>
      <c r="M2" s="146"/>
      <c r="N2" s="146"/>
      <c r="O2" s="146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  <c r="AA2" s="152"/>
      <c r="AB2" s="152"/>
      <c r="AC2" s="152"/>
      <c r="AD2" s="152"/>
      <c r="AE2" s="152"/>
      <c r="AF2" s="146"/>
      <c r="AG2" s="146"/>
      <c r="AH2" s="150"/>
      <c r="AI2" s="146"/>
      <c r="AJ2" s="146"/>
      <c r="AK2" s="146"/>
      <c r="AL2" s="146"/>
      <c r="AM2" s="153"/>
      <c r="AN2" s="153"/>
      <c r="AO2" s="146"/>
      <c r="AP2" s="146"/>
      <c r="AQ2" s="146"/>
      <c r="AR2" s="146"/>
      <c r="AS2" s="153"/>
      <c r="AT2" s="153"/>
    </row>
    <row r="3" spans="1:49" hidden="1" x14ac:dyDescent="0.35"/>
    <row r="4" spans="1:49" ht="13.15" hidden="1" x14ac:dyDescent="0.4">
      <c r="A4" s="154" t="s">
        <v>95</v>
      </c>
      <c r="O4" s="159" t="s">
        <v>73</v>
      </c>
      <c r="P4" s="160"/>
      <c r="Q4" s="161"/>
    </row>
    <row r="5" spans="1:49" s="173" customFormat="1" ht="78.75" x14ac:dyDescent="0.35">
      <c r="A5" s="166"/>
      <c r="B5" s="167" t="s">
        <v>54</v>
      </c>
      <c r="C5" s="167" t="s">
        <v>64</v>
      </c>
      <c r="D5" s="167" t="s">
        <v>96</v>
      </c>
      <c r="E5" s="167" t="s">
        <v>98</v>
      </c>
      <c r="F5" s="168" t="s">
        <v>74</v>
      </c>
      <c r="G5" s="169" t="s">
        <v>351</v>
      </c>
      <c r="H5" s="169" t="s">
        <v>352</v>
      </c>
      <c r="I5" s="168" t="s">
        <v>354</v>
      </c>
      <c r="J5" s="168" t="s">
        <v>353</v>
      </c>
      <c r="K5" s="167" t="s">
        <v>63</v>
      </c>
      <c r="L5" s="167" t="s">
        <v>105</v>
      </c>
      <c r="M5" s="167" t="s">
        <v>59</v>
      </c>
      <c r="N5" s="167" t="s">
        <v>78</v>
      </c>
      <c r="O5" s="167" t="s">
        <v>75</v>
      </c>
      <c r="P5" s="170" t="s">
        <v>99</v>
      </c>
      <c r="Q5" s="170" t="s">
        <v>100</v>
      </c>
      <c r="R5" s="170" t="s">
        <v>79</v>
      </c>
      <c r="S5" s="170" t="s">
        <v>80</v>
      </c>
      <c r="T5" s="170" t="s">
        <v>81</v>
      </c>
      <c r="U5" s="170" t="s">
        <v>82</v>
      </c>
      <c r="V5" s="170" t="s">
        <v>83</v>
      </c>
      <c r="W5" s="170" t="s">
        <v>112</v>
      </c>
      <c r="X5" s="170" t="s">
        <v>673</v>
      </c>
      <c r="Y5" s="170" t="s">
        <v>92</v>
      </c>
      <c r="Z5" s="171" t="s">
        <v>90</v>
      </c>
      <c r="AA5" s="167" t="s">
        <v>91</v>
      </c>
      <c r="AB5" s="171" t="s">
        <v>357</v>
      </c>
      <c r="AC5" s="171" t="s">
        <v>358</v>
      </c>
      <c r="AD5" s="171" t="s">
        <v>359</v>
      </c>
      <c r="AE5" s="171" t="s">
        <v>613</v>
      </c>
      <c r="AF5" s="167" t="s">
        <v>84</v>
      </c>
      <c r="AG5" s="167" t="s">
        <v>94</v>
      </c>
      <c r="AH5" s="170" t="s">
        <v>85</v>
      </c>
      <c r="AI5" s="167" t="s">
        <v>365</v>
      </c>
      <c r="AJ5" s="167" t="s">
        <v>360</v>
      </c>
      <c r="AK5" s="167" t="s">
        <v>361</v>
      </c>
      <c r="AL5" s="167" t="s">
        <v>616</v>
      </c>
      <c r="AM5" s="172" t="s">
        <v>486</v>
      </c>
      <c r="AN5" s="172" t="s">
        <v>485</v>
      </c>
      <c r="AO5" s="167" t="s">
        <v>487</v>
      </c>
      <c r="AP5" s="167" t="s">
        <v>488</v>
      </c>
      <c r="AQ5" s="167" t="s">
        <v>489</v>
      </c>
      <c r="AR5" s="167" t="s">
        <v>615</v>
      </c>
      <c r="AS5" s="172" t="s">
        <v>491</v>
      </c>
      <c r="AT5" s="172" t="s">
        <v>490</v>
      </c>
      <c r="AU5" s="167" t="s">
        <v>169</v>
      </c>
    </row>
    <row r="6" spans="1:49" x14ac:dyDescent="0.35">
      <c r="A6" s="174" t="s">
        <v>87</v>
      </c>
      <c r="B6" s="589">
        <v>1</v>
      </c>
      <c r="C6" s="589" t="s">
        <v>120</v>
      </c>
      <c r="D6" s="594" t="s">
        <v>159</v>
      </c>
      <c r="E6" s="578" t="s">
        <v>3</v>
      </c>
      <c r="F6" s="34">
        <v>10920000</v>
      </c>
      <c r="G6" s="566">
        <v>2.5000000000000001E-2</v>
      </c>
      <c r="H6" s="566">
        <f>1-G6</f>
        <v>0.97499999999999998</v>
      </c>
      <c r="I6" s="34">
        <f>G6*$F6/($G6+1.1*$H6)</f>
        <v>248747.15261958999</v>
      </c>
      <c r="J6" s="34">
        <f>1.1*H6*$F6/($G6+1.1*$H6)</f>
        <v>10671252.847380411</v>
      </c>
      <c r="K6" s="417" t="s">
        <v>113</v>
      </c>
      <c r="L6" s="417" t="s">
        <v>61</v>
      </c>
      <c r="M6" s="417" t="s">
        <v>124</v>
      </c>
      <c r="N6" s="417" t="s">
        <v>125</v>
      </c>
      <c r="O6" s="417" t="s">
        <v>125</v>
      </c>
      <c r="P6" s="423"/>
      <c r="Q6" s="423"/>
      <c r="R6" s="423">
        <v>40969</v>
      </c>
      <c r="S6" s="423">
        <v>40990</v>
      </c>
      <c r="T6" s="423">
        <v>41005</v>
      </c>
      <c r="U6" s="423">
        <v>41046</v>
      </c>
      <c r="V6" s="423">
        <v>41046</v>
      </c>
      <c r="W6" s="423">
        <v>41100</v>
      </c>
      <c r="X6" s="423">
        <v>41107</v>
      </c>
      <c r="Y6" s="423">
        <v>41142</v>
      </c>
      <c r="Z6" s="551"/>
      <c r="AA6" s="593" t="s">
        <v>113</v>
      </c>
      <c r="AB6" s="551">
        <f>Z9</f>
        <v>0</v>
      </c>
      <c r="AC6" s="551">
        <f>IF(G6=0,IF(H6=0,0,G6*$AB6/($G6+1.1*$H6)),G6*$AB6/($G6+1.1*$H6))</f>
        <v>0</v>
      </c>
      <c r="AD6" s="551">
        <f>IF(G6=0,IF(H6=0,0,1.1*H6*$AB6/($G6+1.1*$H6)),1.1*H6*$AB6/($G6+1.1*$H6))</f>
        <v>0</v>
      </c>
      <c r="AE6" s="410"/>
      <c r="AF6" s="597" t="s">
        <v>482</v>
      </c>
      <c r="AG6" s="606" t="s">
        <v>674</v>
      </c>
      <c r="AH6" s="38">
        <v>42338</v>
      </c>
      <c r="AI6" s="581"/>
      <c r="AJ6" s="595"/>
      <c r="AK6" s="595"/>
      <c r="AL6" s="331"/>
      <c r="AM6" s="572" t="str">
        <f>IF(AB6=0,"",AI6/AB6)</f>
        <v/>
      </c>
      <c r="AN6" s="615">
        <v>1</v>
      </c>
      <c r="AO6" s="563"/>
      <c r="AP6" s="563"/>
      <c r="AQ6" s="563"/>
      <c r="AR6" s="414"/>
      <c r="AS6" s="572" t="e">
        <f>1-AM6</f>
        <v>#VALUE!</v>
      </c>
      <c r="AT6" s="572">
        <f>1-AN6</f>
        <v>0</v>
      </c>
      <c r="AU6" s="602"/>
    </row>
    <row r="7" spans="1:49" x14ac:dyDescent="0.35">
      <c r="A7" s="175" t="s">
        <v>88</v>
      </c>
      <c r="B7" s="590"/>
      <c r="C7" s="590"/>
      <c r="D7" s="590"/>
      <c r="E7" s="579"/>
      <c r="F7" s="35">
        <v>18000000</v>
      </c>
      <c r="G7" s="567"/>
      <c r="H7" s="567"/>
      <c r="I7" s="35">
        <f>G6*$F7/($G6+1.1*$H6)</f>
        <v>410022.77904328023</v>
      </c>
      <c r="J7" s="35">
        <f>1.1*H6*$F7/($G6+1.1*$H6)</f>
        <v>17589977.22095672</v>
      </c>
      <c r="K7" s="418"/>
      <c r="L7" s="418"/>
      <c r="M7" s="418"/>
      <c r="N7" s="418"/>
      <c r="O7" s="418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552"/>
      <c r="AA7" s="590"/>
      <c r="AB7" s="552"/>
      <c r="AC7" s="552"/>
      <c r="AD7" s="552"/>
      <c r="AE7" s="411"/>
      <c r="AF7" s="590"/>
      <c r="AG7" s="607"/>
      <c r="AH7" s="39"/>
      <c r="AI7" s="581"/>
      <c r="AJ7" s="595"/>
      <c r="AK7" s="595"/>
      <c r="AL7" s="332"/>
      <c r="AM7" s="573"/>
      <c r="AN7" s="616"/>
      <c r="AO7" s="564"/>
      <c r="AP7" s="564"/>
      <c r="AQ7" s="564"/>
      <c r="AR7" s="415"/>
      <c r="AS7" s="573"/>
      <c r="AT7" s="573"/>
      <c r="AU7" s="603"/>
      <c r="AW7" s="215"/>
    </row>
    <row r="8" spans="1:49" x14ac:dyDescent="0.35">
      <c r="A8" s="203" t="s">
        <v>89</v>
      </c>
      <c r="B8" s="591"/>
      <c r="C8" s="591"/>
      <c r="D8" s="591"/>
      <c r="E8" s="579"/>
      <c r="F8" s="231">
        <v>17980514.260000002</v>
      </c>
      <c r="G8" s="567"/>
      <c r="H8" s="567"/>
      <c r="I8" s="35">
        <f>G6*$F8/($G6+1.1*$H6)</f>
        <v>409578.91252847388</v>
      </c>
      <c r="J8" s="35">
        <f>1.1*H6*$F8/($G6+1.1*$H6)</f>
        <v>17570935.347471528</v>
      </c>
      <c r="K8" s="419"/>
      <c r="L8" s="419"/>
      <c r="M8" s="419"/>
      <c r="N8" s="419"/>
      <c r="O8" s="419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552"/>
      <c r="AA8" s="591"/>
      <c r="AB8" s="552"/>
      <c r="AC8" s="552"/>
      <c r="AD8" s="552"/>
      <c r="AE8" s="411"/>
      <c r="AF8" s="591"/>
      <c r="AG8" s="608"/>
      <c r="AH8" s="39"/>
      <c r="AI8" s="581"/>
      <c r="AJ8" s="595"/>
      <c r="AK8" s="595"/>
      <c r="AL8" s="332"/>
      <c r="AM8" s="573"/>
      <c r="AN8" s="616"/>
      <c r="AO8" s="564"/>
      <c r="AP8" s="564"/>
      <c r="AQ8" s="564"/>
      <c r="AR8" s="415"/>
      <c r="AS8" s="573"/>
      <c r="AT8" s="573"/>
      <c r="AU8" s="604"/>
      <c r="AW8" s="215"/>
    </row>
    <row r="9" spans="1:49" x14ac:dyDescent="0.35">
      <c r="A9" s="233" t="s">
        <v>481</v>
      </c>
      <c r="B9" s="592"/>
      <c r="C9" s="592"/>
      <c r="D9" s="592"/>
      <c r="E9" s="580"/>
      <c r="F9" s="36">
        <v>17980262.489999998</v>
      </c>
      <c r="G9" s="568"/>
      <c r="H9" s="568"/>
      <c r="I9" s="36">
        <f>G6*$F9/($G6+1.1*$H6)</f>
        <v>409573.17744874716</v>
      </c>
      <c r="J9" s="36">
        <f>1.1*H6*$F9/($G6+1.1*$H6)</f>
        <v>17570689.312551253</v>
      </c>
      <c r="K9" s="420"/>
      <c r="L9" s="420"/>
      <c r="M9" s="420"/>
      <c r="N9" s="420"/>
      <c r="O9" s="420"/>
      <c r="P9" s="425"/>
      <c r="Q9" s="425"/>
      <c r="R9" s="425">
        <v>41519</v>
      </c>
      <c r="S9" s="425">
        <v>41673</v>
      </c>
      <c r="T9" s="425">
        <v>41690</v>
      </c>
      <c r="U9" s="425">
        <v>41739</v>
      </c>
      <c r="V9" s="425">
        <v>41739</v>
      </c>
      <c r="W9" s="425">
        <v>41778</v>
      </c>
      <c r="X9" s="425">
        <v>41794</v>
      </c>
      <c r="Y9" s="425">
        <v>41857</v>
      </c>
      <c r="Z9" s="234"/>
      <c r="AA9" s="592"/>
      <c r="AB9" s="553"/>
      <c r="AC9" s="553"/>
      <c r="AD9" s="553"/>
      <c r="AE9" s="412"/>
      <c r="AF9" s="592"/>
      <c r="AG9" s="609"/>
      <c r="AH9" s="39">
        <v>43200</v>
      </c>
      <c r="AI9" s="581"/>
      <c r="AJ9" s="595"/>
      <c r="AK9" s="595"/>
      <c r="AL9" s="333"/>
      <c r="AM9" s="574"/>
      <c r="AN9" s="617"/>
      <c r="AO9" s="565"/>
      <c r="AP9" s="565"/>
      <c r="AQ9" s="565"/>
      <c r="AR9" s="416"/>
      <c r="AS9" s="574"/>
      <c r="AT9" s="574"/>
      <c r="AU9" s="605"/>
    </row>
    <row r="10" spans="1:49" x14ac:dyDescent="0.35">
      <c r="A10" s="174" t="s">
        <v>87</v>
      </c>
      <c r="B10" s="589">
        <v>2</v>
      </c>
      <c r="C10" s="589" t="s">
        <v>121</v>
      </c>
      <c r="D10" s="594" t="s">
        <v>160</v>
      </c>
      <c r="E10" s="578" t="s">
        <v>3</v>
      </c>
      <c r="F10" s="34">
        <v>9685000</v>
      </c>
      <c r="G10" s="566">
        <v>2.5000000000000001E-2</v>
      </c>
      <c r="H10" s="566">
        <f>1-G10</f>
        <v>0.97499999999999998</v>
      </c>
      <c r="I10" s="34">
        <f>G10*$F10/($G10+1.1*$H10)</f>
        <v>220615.03416856495</v>
      </c>
      <c r="J10" s="34">
        <f>1.1*H10*$F10/($G10+1.1*$H10)</f>
        <v>9464384.9658314362</v>
      </c>
      <c r="K10" s="417" t="s">
        <v>113</v>
      </c>
      <c r="L10" s="417" t="s">
        <v>61</v>
      </c>
      <c r="M10" s="417" t="s">
        <v>124</v>
      </c>
      <c r="N10" s="417" t="s">
        <v>125</v>
      </c>
      <c r="O10" s="417" t="s">
        <v>125</v>
      </c>
      <c r="P10" s="423"/>
      <c r="Q10" s="423"/>
      <c r="R10" s="423">
        <v>40952</v>
      </c>
      <c r="S10" s="423">
        <v>40966</v>
      </c>
      <c r="T10" s="423">
        <v>40981</v>
      </c>
      <c r="U10" s="423">
        <v>41022</v>
      </c>
      <c r="V10" s="423">
        <v>41022</v>
      </c>
      <c r="W10" s="423">
        <v>41064</v>
      </c>
      <c r="X10" s="423">
        <v>41078</v>
      </c>
      <c r="Y10" s="423">
        <v>41113</v>
      </c>
      <c r="Z10" s="551"/>
      <c r="AA10" s="593" t="s">
        <v>113</v>
      </c>
      <c r="AB10" s="551">
        <f>Z13</f>
        <v>0</v>
      </c>
      <c r="AC10" s="551">
        <f>IF(G10=0,IF(H10=0,0,G10*$AB10/($G10+1.1*$H10)),G10*$AB10/($G10+1.1*$H10))</f>
        <v>0</v>
      </c>
      <c r="AD10" s="551">
        <f>IF(G10=0,IF(H10=0,0,1.1*H10*$AB10/($G10+1.1*$H10)),1.1*H10*$AB10/($G10+1.1*$H10))</f>
        <v>0</v>
      </c>
      <c r="AE10" s="410"/>
      <c r="AF10" s="589" t="s">
        <v>344</v>
      </c>
      <c r="AG10" s="610" t="s">
        <v>675</v>
      </c>
      <c r="AH10" s="423">
        <v>42368</v>
      </c>
      <c r="AI10" s="581"/>
      <c r="AJ10" s="595"/>
      <c r="AK10" s="595"/>
      <c r="AL10" s="331"/>
      <c r="AM10" s="572" t="str">
        <f>IF(AB10=0,"",AI10/AB10)</f>
        <v/>
      </c>
      <c r="AN10" s="575">
        <v>1</v>
      </c>
      <c r="AO10" s="563"/>
      <c r="AP10" s="563"/>
      <c r="AQ10" s="563"/>
      <c r="AR10" s="414"/>
      <c r="AS10" s="572" t="e">
        <f>1-AM10</f>
        <v>#VALUE!</v>
      </c>
      <c r="AT10" s="572">
        <f>1-AN10</f>
        <v>0</v>
      </c>
      <c r="AU10" s="602"/>
    </row>
    <row r="11" spans="1:49" x14ac:dyDescent="0.35">
      <c r="A11" s="175" t="s">
        <v>88</v>
      </c>
      <c r="B11" s="590"/>
      <c r="C11" s="590"/>
      <c r="D11" s="590"/>
      <c r="E11" s="579"/>
      <c r="F11" s="35">
        <v>15000000</v>
      </c>
      <c r="G11" s="567"/>
      <c r="H11" s="567"/>
      <c r="I11" s="35">
        <f>G10*$F11/($G10+1.1*$H10)</f>
        <v>341685.64920273353</v>
      </c>
      <c r="J11" s="35">
        <f>1.1*H10*$F11/($G10+1.1*$H10)</f>
        <v>14658314.350797268</v>
      </c>
      <c r="K11" s="418"/>
      <c r="L11" s="418"/>
      <c r="M11" s="418"/>
      <c r="N11" s="418"/>
      <c r="O11" s="418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552"/>
      <c r="AA11" s="590"/>
      <c r="AB11" s="552"/>
      <c r="AC11" s="552"/>
      <c r="AD11" s="552"/>
      <c r="AE11" s="411"/>
      <c r="AF11" s="590"/>
      <c r="AG11" s="590"/>
      <c r="AH11" s="39"/>
      <c r="AI11" s="581"/>
      <c r="AJ11" s="595"/>
      <c r="AK11" s="595"/>
      <c r="AL11" s="332"/>
      <c r="AM11" s="573"/>
      <c r="AN11" s="576"/>
      <c r="AO11" s="564"/>
      <c r="AP11" s="564"/>
      <c r="AQ11" s="564"/>
      <c r="AR11" s="415"/>
      <c r="AS11" s="573"/>
      <c r="AT11" s="573"/>
      <c r="AU11" s="603"/>
    </row>
    <row r="12" spans="1:49" x14ac:dyDescent="0.35">
      <c r="A12" s="175" t="s">
        <v>89</v>
      </c>
      <c r="B12" s="591"/>
      <c r="C12" s="591"/>
      <c r="D12" s="591"/>
      <c r="E12" s="579"/>
      <c r="F12" s="35">
        <v>11772173.624750001</v>
      </c>
      <c r="G12" s="567"/>
      <c r="H12" s="567"/>
      <c r="I12" s="35">
        <f>G10*$F12/($G10+1.1*$H10)</f>
        <v>268158.85250000004</v>
      </c>
      <c r="J12" s="35">
        <f>1.1*H10*$F12/($G10+1.1*$H10)</f>
        <v>11504014.772250002</v>
      </c>
      <c r="K12" s="418"/>
      <c r="L12" s="418"/>
      <c r="M12" s="418"/>
      <c r="N12" s="418"/>
      <c r="O12" s="418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552"/>
      <c r="AA12" s="591"/>
      <c r="AB12" s="552"/>
      <c r="AC12" s="552"/>
      <c r="AD12" s="552"/>
      <c r="AE12" s="411"/>
      <c r="AF12" s="591"/>
      <c r="AG12" s="591"/>
      <c r="AH12" s="424"/>
      <c r="AI12" s="581"/>
      <c r="AJ12" s="595"/>
      <c r="AK12" s="595"/>
      <c r="AL12" s="332"/>
      <c r="AM12" s="573"/>
      <c r="AN12" s="576"/>
      <c r="AO12" s="564"/>
      <c r="AP12" s="564"/>
      <c r="AQ12" s="564"/>
      <c r="AR12" s="415"/>
      <c r="AS12" s="573"/>
      <c r="AT12" s="573"/>
      <c r="AU12" s="604"/>
    </row>
    <row r="13" spans="1:49" x14ac:dyDescent="0.35">
      <c r="A13" s="233" t="s">
        <v>481</v>
      </c>
      <c r="B13" s="592"/>
      <c r="C13" s="592"/>
      <c r="D13" s="592"/>
      <c r="E13" s="580"/>
      <c r="F13" s="36">
        <v>9830790.1799999997</v>
      </c>
      <c r="G13" s="568"/>
      <c r="H13" s="568"/>
      <c r="I13" s="232">
        <f>G10*$F13/($G10+1.1*$H10)</f>
        <v>223935.9949886105</v>
      </c>
      <c r="J13" s="232">
        <f>1.1*H10*$F13/($G10+1.1*$H10)</f>
        <v>9606854.1850113887</v>
      </c>
      <c r="K13" s="431"/>
      <c r="L13" s="431"/>
      <c r="M13" s="431"/>
      <c r="N13" s="431"/>
      <c r="O13" s="431"/>
      <c r="P13" s="432"/>
      <c r="Q13" s="432"/>
      <c r="R13" s="432">
        <v>41519</v>
      </c>
      <c r="S13" s="432">
        <v>41673</v>
      </c>
      <c r="T13" s="432">
        <v>41711</v>
      </c>
      <c r="U13" s="432">
        <v>41765</v>
      </c>
      <c r="V13" s="432">
        <v>41765</v>
      </c>
      <c r="W13" s="432">
        <v>41792</v>
      </c>
      <c r="X13" s="432">
        <v>41829</v>
      </c>
      <c r="Y13" s="432">
        <v>41857</v>
      </c>
      <c r="Z13" s="413"/>
      <c r="AA13" s="592"/>
      <c r="AB13" s="553"/>
      <c r="AC13" s="553"/>
      <c r="AD13" s="553"/>
      <c r="AE13" s="412"/>
      <c r="AF13" s="592"/>
      <c r="AG13" s="592"/>
      <c r="AH13" s="432">
        <v>43335</v>
      </c>
      <c r="AI13" s="581"/>
      <c r="AJ13" s="595"/>
      <c r="AK13" s="595"/>
      <c r="AL13" s="333"/>
      <c r="AM13" s="574"/>
      <c r="AN13" s="577"/>
      <c r="AO13" s="565"/>
      <c r="AP13" s="565"/>
      <c r="AQ13" s="565"/>
      <c r="AR13" s="416"/>
      <c r="AS13" s="574"/>
      <c r="AT13" s="574"/>
      <c r="AU13" s="605"/>
    </row>
    <row r="14" spans="1:49" x14ac:dyDescent="0.35">
      <c r="A14" s="174" t="s">
        <v>87</v>
      </c>
      <c r="B14" s="589">
        <v>3</v>
      </c>
      <c r="C14" s="589" t="s">
        <v>122</v>
      </c>
      <c r="D14" s="594" t="s">
        <v>158</v>
      </c>
      <c r="E14" s="578" t="s">
        <v>3</v>
      </c>
      <c r="F14" s="34">
        <v>10289500</v>
      </c>
      <c r="G14" s="566">
        <v>2.5000000000000001E-2</v>
      </c>
      <c r="H14" s="566">
        <f>1-G14</f>
        <v>0.97499999999999998</v>
      </c>
      <c r="I14" s="34">
        <f>G14*$F14/($G14+1.1*$H14)</f>
        <v>234384.96583143511</v>
      </c>
      <c r="J14" s="34">
        <f>1.1*H14*$F14/($G14+1.1*$H14)</f>
        <v>10055115.034168566</v>
      </c>
      <c r="K14" s="417" t="s">
        <v>113</v>
      </c>
      <c r="L14" s="417" t="s">
        <v>61</v>
      </c>
      <c r="M14" s="417" t="s">
        <v>124</v>
      </c>
      <c r="N14" s="417" t="s">
        <v>125</v>
      </c>
      <c r="O14" s="417" t="s">
        <v>125</v>
      </c>
      <c r="P14" s="423"/>
      <c r="Q14" s="423"/>
      <c r="R14" s="423">
        <v>40952</v>
      </c>
      <c r="S14" s="423">
        <v>40966</v>
      </c>
      <c r="T14" s="423">
        <v>40988</v>
      </c>
      <c r="U14" s="423">
        <v>41029</v>
      </c>
      <c r="V14" s="423">
        <v>41029</v>
      </c>
      <c r="W14" s="423">
        <v>41074</v>
      </c>
      <c r="X14" s="423">
        <v>41088</v>
      </c>
      <c r="Y14" s="423">
        <v>41123</v>
      </c>
      <c r="Z14" s="551"/>
      <c r="AA14" s="593" t="s">
        <v>113</v>
      </c>
      <c r="AB14" s="551">
        <f>Z17</f>
        <v>0</v>
      </c>
      <c r="AC14" s="551">
        <f>IF(G14=0,IF(H14=0,0,G14*$AB14/($G14+1.1*$H14)),G14*$AB14/($G14+1.1*$H14))</f>
        <v>0</v>
      </c>
      <c r="AD14" s="551">
        <f>IF(G14=0,IF(H14=0,0,1.1*H14*$AB14/($G14+1.1*$H14)),1.1*H14*$AB14/($G14+1.1*$H14))</f>
        <v>0</v>
      </c>
      <c r="AE14" s="410"/>
      <c r="AF14" s="593" t="s">
        <v>295</v>
      </c>
      <c r="AG14" s="611" t="s">
        <v>303</v>
      </c>
      <c r="AH14" s="423">
        <v>42145</v>
      </c>
      <c r="AI14" s="581"/>
      <c r="AJ14" s="595"/>
      <c r="AK14" s="595"/>
      <c r="AL14" s="331"/>
      <c r="AM14" s="572" t="str">
        <f>IF(AB14=0,"",AI14/AB14)</f>
        <v/>
      </c>
      <c r="AN14" s="575">
        <v>1</v>
      </c>
      <c r="AO14" s="563"/>
      <c r="AP14" s="563"/>
      <c r="AQ14" s="563"/>
      <c r="AR14" s="414"/>
      <c r="AS14" s="572" t="e">
        <f>1-AM14</f>
        <v>#VALUE!</v>
      </c>
      <c r="AT14" s="572">
        <f>1-AN14</f>
        <v>0</v>
      </c>
      <c r="AU14" s="602"/>
    </row>
    <row r="15" spans="1:49" x14ac:dyDescent="0.35">
      <c r="A15" s="175" t="s">
        <v>88</v>
      </c>
      <c r="B15" s="590"/>
      <c r="C15" s="590"/>
      <c r="D15" s="590"/>
      <c r="E15" s="579"/>
      <c r="F15" s="35">
        <v>25000000</v>
      </c>
      <c r="G15" s="567"/>
      <c r="H15" s="567"/>
      <c r="I15" s="35">
        <f>G14*$F15/($G14+1.1*$H14)</f>
        <v>569476.08200455585</v>
      </c>
      <c r="J15" s="35">
        <f>1.1*H14*$F15/($G14+1.1*$H14)</f>
        <v>24430523.917995445</v>
      </c>
      <c r="K15" s="418"/>
      <c r="L15" s="418"/>
      <c r="M15" s="418"/>
      <c r="N15" s="418"/>
      <c r="O15" s="418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552"/>
      <c r="AA15" s="590"/>
      <c r="AB15" s="552"/>
      <c r="AC15" s="552"/>
      <c r="AD15" s="552"/>
      <c r="AE15" s="411"/>
      <c r="AF15" s="590"/>
      <c r="AG15" s="612"/>
      <c r="AH15" s="39"/>
      <c r="AI15" s="581"/>
      <c r="AJ15" s="595"/>
      <c r="AK15" s="595"/>
      <c r="AL15" s="332"/>
      <c r="AM15" s="573"/>
      <c r="AN15" s="576"/>
      <c r="AO15" s="564"/>
      <c r="AP15" s="564"/>
      <c r="AQ15" s="564"/>
      <c r="AR15" s="415"/>
      <c r="AS15" s="573"/>
      <c r="AT15" s="573"/>
      <c r="AU15" s="603"/>
    </row>
    <row r="16" spans="1:49" x14ac:dyDescent="0.35">
      <c r="A16" s="175" t="s">
        <v>89</v>
      </c>
      <c r="B16" s="591"/>
      <c r="C16" s="591"/>
      <c r="D16" s="591"/>
      <c r="E16" s="579"/>
      <c r="F16" s="231">
        <f>20805443.52*1.0975</f>
        <v>22833974.263199996</v>
      </c>
      <c r="G16" s="567"/>
      <c r="H16" s="567"/>
      <c r="I16" s="231">
        <f>G14*$F16/($G14+1.1*$H14)</f>
        <v>520136.08799999993</v>
      </c>
      <c r="J16" s="231">
        <f>1.1*H14*$F16/($G14+1.1*$H14)</f>
        <v>22313838.1752</v>
      </c>
      <c r="K16" s="419"/>
      <c r="L16" s="419"/>
      <c r="M16" s="419"/>
      <c r="N16" s="419"/>
      <c r="O16" s="419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552"/>
      <c r="AA16" s="591"/>
      <c r="AB16" s="552"/>
      <c r="AC16" s="552"/>
      <c r="AD16" s="552"/>
      <c r="AE16" s="411"/>
      <c r="AF16" s="591"/>
      <c r="AG16" s="613"/>
      <c r="AH16" s="204"/>
      <c r="AI16" s="581"/>
      <c r="AJ16" s="595"/>
      <c r="AK16" s="595"/>
      <c r="AL16" s="332"/>
      <c r="AM16" s="573"/>
      <c r="AN16" s="576"/>
      <c r="AO16" s="564"/>
      <c r="AP16" s="564"/>
      <c r="AQ16" s="564"/>
      <c r="AR16" s="415"/>
      <c r="AS16" s="573"/>
      <c r="AT16" s="573"/>
      <c r="AU16" s="604"/>
      <c r="AW16" s="348"/>
    </row>
    <row r="17" spans="1:47" x14ac:dyDescent="0.35">
      <c r="A17" s="233" t="s">
        <v>481</v>
      </c>
      <c r="B17" s="592"/>
      <c r="C17" s="592"/>
      <c r="D17" s="592"/>
      <c r="E17" s="580"/>
      <c r="F17" s="36">
        <f>F16-308.7</f>
        <v>22833665.563199997</v>
      </c>
      <c r="G17" s="568"/>
      <c r="H17" s="568"/>
      <c r="I17" s="36">
        <f>G14*$F17/($G14+1.1*$H14)</f>
        <v>520129.05610933946</v>
      </c>
      <c r="J17" s="36">
        <f>1.1*H14*$F17/($G14+1.1*$H14)</f>
        <v>22313536.507090658</v>
      </c>
      <c r="K17" s="420"/>
      <c r="L17" s="420"/>
      <c r="M17" s="420"/>
      <c r="N17" s="420"/>
      <c r="O17" s="420"/>
      <c r="P17" s="425"/>
      <c r="Q17" s="425"/>
      <c r="R17" s="425">
        <v>41318</v>
      </c>
      <c r="S17" s="425">
        <v>41457</v>
      </c>
      <c r="T17" s="425">
        <v>41480</v>
      </c>
      <c r="U17" s="425">
        <v>41541</v>
      </c>
      <c r="V17" s="425">
        <v>41541</v>
      </c>
      <c r="W17" s="425">
        <v>41632</v>
      </c>
      <c r="X17" s="425">
        <v>41649</v>
      </c>
      <c r="Y17" s="425">
        <v>41667</v>
      </c>
      <c r="Z17" s="234"/>
      <c r="AA17" s="592"/>
      <c r="AB17" s="553"/>
      <c r="AC17" s="553"/>
      <c r="AD17" s="553"/>
      <c r="AE17" s="412"/>
      <c r="AF17" s="592"/>
      <c r="AG17" s="614"/>
      <c r="AH17" s="425">
        <v>43202</v>
      </c>
      <c r="AI17" s="581"/>
      <c r="AJ17" s="595"/>
      <c r="AK17" s="595"/>
      <c r="AL17" s="333"/>
      <c r="AM17" s="574"/>
      <c r="AN17" s="577"/>
      <c r="AO17" s="565"/>
      <c r="AP17" s="565"/>
      <c r="AQ17" s="565"/>
      <c r="AR17" s="416"/>
      <c r="AS17" s="574"/>
      <c r="AT17" s="574"/>
      <c r="AU17" s="605"/>
    </row>
    <row r="18" spans="1:47" x14ac:dyDescent="0.35">
      <c r="A18" s="174" t="s">
        <v>87</v>
      </c>
      <c r="B18" s="589">
        <v>4</v>
      </c>
      <c r="C18" s="589" t="s">
        <v>123</v>
      </c>
      <c r="D18" s="594" t="s">
        <v>161</v>
      </c>
      <c r="E18" s="578" t="s">
        <v>3</v>
      </c>
      <c r="F18" s="34">
        <v>9488700</v>
      </c>
      <c r="G18" s="566">
        <v>2.5000000000000001E-2</v>
      </c>
      <c r="H18" s="566">
        <f>1-G18</f>
        <v>0.97499999999999998</v>
      </c>
      <c r="I18" s="34">
        <f>G18*$F18/($G18+1.1*$H18)</f>
        <v>216143.50797266516</v>
      </c>
      <c r="J18" s="34">
        <f>1.1*H18*$F18/($G18+1.1*$H18)</f>
        <v>9272556.4920273349</v>
      </c>
      <c r="K18" s="417" t="s">
        <v>113</v>
      </c>
      <c r="L18" s="417" t="s">
        <v>61</v>
      </c>
      <c r="M18" s="417" t="s">
        <v>124</v>
      </c>
      <c r="N18" s="417" t="s">
        <v>125</v>
      </c>
      <c r="O18" s="417" t="s">
        <v>125</v>
      </c>
      <c r="P18" s="423"/>
      <c r="Q18" s="423"/>
      <c r="R18" s="423">
        <v>40969</v>
      </c>
      <c r="S18" s="423">
        <v>40990</v>
      </c>
      <c r="T18" s="423">
        <v>41073</v>
      </c>
      <c r="U18" s="423">
        <v>41053</v>
      </c>
      <c r="V18" s="423">
        <v>41053</v>
      </c>
      <c r="W18" s="423">
        <v>41107</v>
      </c>
      <c r="X18" s="423">
        <v>41114</v>
      </c>
      <c r="Y18" s="423">
        <v>41149</v>
      </c>
      <c r="Z18" s="551"/>
      <c r="AA18" s="569" t="s">
        <v>113</v>
      </c>
      <c r="AB18" s="551">
        <f>Z21</f>
        <v>0</v>
      </c>
      <c r="AC18" s="551">
        <f>IF(G18=0,IF(H18=0,0,G18*$AB18/($G18+1.1*$H18)),G18*$AB18/($G18+1.1*$H18))</f>
        <v>0</v>
      </c>
      <c r="AD18" s="551">
        <f>IF(G18=0,IF(H18=0,0,1.1*H18*$AB18/($G18+1.1*$H18)),1.1*H18*$AB18/($G18+1.1*$H18))</f>
        <v>0</v>
      </c>
      <c r="AE18" s="410"/>
      <c r="AF18" s="597" t="s">
        <v>501</v>
      </c>
      <c r="AG18" s="578" t="s">
        <v>498</v>
      </c>
      <c r="AH18" s="423">
        <v>42062</v>
      </c>
      <c r="AI18" s="581"/>
      <c r="AJ18" s="595"/>
      <c r="AK18" s="595"/>
      <c r="AL18" s="331"/>
      <c r="AM18" s="572" t="str">
        <f>IF(AB18=0,"",AI18/AB18)</f>
        <v/>
      </c>
      <c r="AN18" s="575">
        <v>0.95</v>
      </c>
      <c r="AO18" s="563"/>
      <c r="AP18" s="563"/>
      <c r="AQ18" s="563"/>
      <c r="AR18" s="414"/>
      <c r="AS18" s="572">
        <f>IF(AB18=0,1,1-AM18)</f>
        <v>1</v>
      </c>
      <c r="AT18" s="572">
        <f>1-AN18</f>
        <v>5.0000000000000044E-2</v>
      </c>
      <c r="AU18" s="602"/>
    </row>
    <row r="19" spans="1:47" x14ac:dyDescent="0.35">
      <c r="A19" s="175" t="s">
        <v>88</v>
      </c>
      <c r="B19" s="590"/>
      <c r="C19" s="590"/>
      <c r="D19" s="590"/>
      <c r="E19" s="579"/>
      <c r="F19" s="35">
        <v>13000000</v>
      </c>
      <c r="G19" s="567"/>
      <c r="H19" s="567"/>
      <c r="I19" s="35">
        <f>G18*$F19/($G18+1.1*$H18)</f>
        <v>296127.56264236907</v>
      </c>
      <c r="J19" s="35">
        <f>1.1*H18*$F19/($G18+1.1*$H18)</f>
        <v>12703872.437357632</v>
      </c>
      <c r="K19" s="418"/>
      <c r="L19" s="418"/>
      <c r="M19" s="418"/>
      <c r="N19" s="418"/>
      <c r="O19" s="418"/>
      <c r="P19" s="424"/>
      <c r="Q19" s="424"/>
      <c r="R19" s="424"/>
      <c r="S19" s="424"/>
      <c r="T19" s="424"/>
      <c r="U19" s="424"/>
      <c r="V19" s="424"/>
      <c r="W19" s="424"/>
      <c r="X19" s="216"/>
      <c r="Y19" s="424"/>
      <c r="Z19" s="552"/>
      <c r="AA19" s="570"/>
      <c r="AB19" s="552"/>
      <c r="AC19" s="552"/>
      <c r="AD19" s="552"/>
      <c r="AE19" s="411"/>
      <c r="AF19" s="590"/>
      <c r="AG19" s="579"/>
      <c r="AH19" s="39">
        <v>43621</v>
      </c>
      <c r="AI19" s="581"/>
      <c r="AJ19" s="595"/>
      <c r="AK19" s="595"/>
      <c r="AL19" s="332"/>
      <c r="AM19" s="573"/>
      <c r="AN19" s="576"/>
      <c r="AO19" s="564"/>
      <c r="AP19" s="564"/>
      <c r="AQ19" s="564"/>
      <c r="AR19" s="415"/>
      <c r="AS19" s="573"/>
      <c r="AT19" s="573"/>
      <c r="AU19" s="603"/>
    </row>
    <row r="20" spans="1:47" x14ac:dyDescent="0.35">
      <c r="A20" s="175" t="s">
        <v>89</v>
      </c>
      <c r="B20" s="591"/>
      <c r="C20" s="591"/>
      <c r="D20" s="591"/>
      <c r="E20" s="579"/>
      <c r="F20" s="231">
        <f>Z18</f>
        <v>0</v>
      </c>
      <c r="G20" s="567"/>
      <c r="H20" s="567"/>
      <c r="I20" s="231">
        <f>G18*$F20/($G18+1.1*$H18)</f>
        <v>0</v>
      </c>
      <c r="J20" s="231">
        <f>1.1*H18*$F20/($G18+1.1*$H18)</f>
        <v>0</v>
      </c>
      <c r="K20" s="419"/>
      <c r="L20" s="419"/>
      <c r="M20" s="419"/>
      <c r="N20" s="419"/>
      <c r="O20" s="419"/>
      <c r="P20" s="430"/>
      <c r="Q20" s="430"/>
      <c r="R20" s="430"/>
      <c r="S20" s="430"/>
      <c r="T20" s="430"/>
      <c r="U20" s="430"/>
      <c r="V20" s="430"/>
      <c r="W20" s="430"/>
      <c r="X20" s="235"/>
      <c r="Y20" s="430"/>
      <c r="Z20" s="552"/>
      <c r="AA20" s="596"/>
      <c r="AB20" s="552"/>
      <c r="AC20" s="552"/>
      <c r="AD20" s="552"/>
      <c r="AE20" s="411"/>
      <c r="AF20" s="591"/>
      <c r="AG20" s="579"/>
      <c r="AH20" s="204"/>
      <c r="AI20" s="581"/>
      <c r="AJ20" s="595"/>
      <c r="AK20" s="595"/>
      <c r="AL20" s="332"/>
      <c r="AM20" s="573"/>
      <c r="AN20" s="576"/>
      <c r="AO20" s="564"/>
      <c r="AP20" s="564"/>
      <c r="AQ20" s="564"/>
      <c r="AR20" s="415"/>
      <c r="AS20" s="573"/>
      <c r="AT20" s="573"/>
      <c r="AU20" s="604"/>
    </row>
    <row r="21" spans="1:47" x14ac:dyDescent="0.35">
      <c r="A21" s="233" t="s">
        <v>481</v>
      </c>
      <c r="B21" s="592"/>
      <c r="C21" s="592"/>
      <c r="D21" s="592"/>
      <c r="E21" s="580"/>
      <c r="F21" s="36">
        <f>F20+283.43</f>
        <v>283.43</v>
      </c>
      <c r="G21" s="568"/>
      <c r="H21" s="568"/>
      <c r="I21" s="36">
        <f>G18*$F21/($G18+1.1*$H18)</f>
        <v>6.4562642369020518</v>
      </c>
      <c r="J21" s="36">
        <f>1.1*H18*$F21/($G18+1.1*$H18)</f>
        <v>276.97373576309798</v>
      </c>
      <c r="K21" s="420"/>
      <c r="L21" s="420"/>
      <c r="M21" s="420"/>
      <c r="N21" s="420"/>
      <c r="O21" s="420"/>
      <c r="P21" s="425"/>
      <c r="Q21" s="425"/>
      <c r="R21" s="425">
        <v>41628</v>
      </c>
      <c r="S21" s="425">
        <v>41915</v>
      </c>
      <c r="T21" s="425">
        <v>41949</v>
      </c>
      <c r="U21" s="425">
        <v>42011</v>
      </c>
      <c r="V21" s="425">
        <v>42011</v>
      </c>
      <c r="W21" s="425">
        <v>42094</v>
      </c>
      <c r="X21" s="425">
        <v>42116</v>
      </c>
      <c r="Y21" s="425">
        <v>42151</v>
      </c>
      <c r="Z21" s="413"/>
      <c r="AA21" s="571"/>
      <c r="AB21" s="553"/>
      <c r="AC21" s="553"/>
      <c r="AD21" s="553"/>
      <c r="AE21" s="412"/>
      <c r="AF21" s="592"/>
      <c r="AG21" s="580"/>
      <c r="AH21" s="425"/>
      <c r="AI21" s="581"/>
      <c r="AJ21" s="595"/>
      <c r="AK21" s="595"/>
      <c r="AL21" s="333"/>
      <c r="AM21" s="574"/>
      <c r="AN21" s="577"/>
      <c r="AO21" s="565"/>
      <c r="AP21" s="565"/>
      <c r="AQ21" s="565"/>
      <c r="AR21" s="416"/>
      <c r="AS21" s="574"/>
      <c r="AT21" s="574"/>
      <c r="AU21" s="605"/>
    </row>
    <row r="22" spans="1:47" x14ac:dyDescent="0.35">
      <c r="A22" s="174" t="s">
        <v>87</v>
      </c>
      <c r="B22" s="589">
        <v>5</v>
      </c>
      <c r="C22" s="593" t="s">
        <v>153</v>
      </c>
      <c r="D22" s="593" t="s">
        <v>162</v>
      </c>
      <c r="E22" s="578" t="s">
        <v>3</v>
      </c>
      <c r="F22" s="34">
        <v>159000000</v>
      </c>
      <c r="G22" s="557" t="s">
        <v>614</v>
      </c>
      <c r="H22" s="566">
        <v>0</v>
      </c>
      <c r="I22" s="34">
        <f>F22</f>
        <v>159000000</v>
      </c>
      <c r="J22" s="34">
        <f>F22-I22</f>
        <v>0</v>
      </c>
      <c r="K22" s="417" t="s">
        <v>113</v>
      </c>
      <c r="L22" s="417" t="s">
        <v>61</v>
      </c>
      <c r="M22" s="417" t="s">
        <v>124</v>
      </c>
      <c r="N22" s="417" t="s">
        <v>125</v>
      </c>
      <c r="O22" s="421" t="s">
        <v>144</v>
      </c>
      <c r="P22" s="423">
        <v>40571</v>
      </c>
      <c r="Q22" s="423">
        <v>40676</v>
      </c>
      <c r="R22" s="423">
        <v>40697</v>
      </c>
      <c r="S22" s="423">
        <v>40704</v>
      </c>
      <c r="T22" s="423">
        <v>40701</v>
      </c>
      <c r="U22" s="423">
        <v>40756</v>
      </c>
      <c r="V22" s="423">
        <v>40756</v>
      </c>
      <c r="W22" s="423">
        <v>40882</v>
      </c>
      <c r="X22" s="423">
        <v>40889</v>
      </c>
      <c r="Y22" s="423">
        <v>40917</v>
      </c>
      <c r="Z22" s="560"/>
      <c r="AA22" s="569" t="s">
        <v>113</v>
      </c>
      <c r="AB22" s="551">
        <f>Z22</f>
        <v>0</v>
      </c>
      <c r="AC22" s="551">
        <v>177204749.63999999</v>
      </c>
      <c r="AD22" s="551">
        <v>0</v>
      </c>
      <c r="AE22" s="551">
        <f>Z22-AC22</f>
        <v>-177204749.63999999</v>
      </c>
      <c r="AF22" s="593">
        <v>10902</v>
      </c>
      <c r="AG22" s="598" t="s">
        <v>676</v>
      </c>
      <c r="AH22" s="423">
        <v>41997</v>
      </c>
      <c r="AI22" s="601"/>
      <c r="AJ22" s="595"/>
      <c r="AK22" s="581"/>
      <c r="AL22" s="563"/>
      <c r="AM22" s="572" t="str">
        <f>IF(AB22=0,"",AI22/AB22)</f>
        <v/>
      </c>
      <c r="AN22" s="572">
        <v>0.9</v>
      </c>
      <c r="AO22" s="563"/>
      <c r="AP22" s="563"/>
      <c r="AQ22" s="563"/>
      <c r="AR22" s="563"/>
      <c r="AS22" s="572">
        <f>IF(AB22=0,1,1-AM22)</f>
        <v>1</v>
      </c>
      <c r="AT22" s="572">
        <f>1-AN22</f>
        <v>9.9999999999999978E-2</v>
      </c>
      <c r="AU22" s="618"/>
    </row>
    <row r="23" spans="1:47" x14ac:dyDescent="0.35">
      <c r="A23" s="175" t="s">
        <v>88</v>
      </c>
      <c r="B23" s="590"/>
      <c r="C23" s="590"/>
      <c r="D23" s="590"/>
      <c r="E23" s="579"/>
      <c r="F23" s="35">
        <v>182300000</v>
      </c>
      <c r="G23" s="558"/>
      <c r="H23" s="567"/>
      <c r="I23" s="35">
        <f>F23</f>
        <v>182300000</v>
      </c>
      <c r="J23" s="35">
        <v>0</v>
      </c>
      <c r="K23" s="418"/>
      <c r="L23" s="418"/>
      <c r="M23" s="418"/>
      <c r="N23" s="418"/>
      <c r="O23" s="418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561"/>
      <c r="AA23" s="570"/>
      <c r="AB23" s="552"/>
      <c r="AC23" s="552"/>
      <c r="AD23" s="552"/>
      <c r="AE23" s="552"/>
      <c r="AF23" s="590"/>
      <c r="AG23" s="599"/>
      <c r="AH23" s="39">
        <v>43495</v>
      </c>
      <c r="AI23" s="555"/>
      <c r="AJ23" s="595"/>
      <c r="AK23" s="581"/>
      <c r="AL23" s="564"/>
      <c r="AM23" s="573"/>
      <c r="AN23" s="573"/>
      <c r="AO23" s="564"/>
      <c r="AP23" s="564"/>
      <c r="AQ23" s="564"/>
      <c r="AR23" s="564"/>
      <c r="AS23" s="573"/>
      <c r="AT23" s="573"/>
      <c r="AU23" s="619"/>
    </row>
    <row r="24" spans="1:47" ht="27" customHeight="1" x14ac:dyDescent="0.35">
      <c r="A24" s="176" t="s">
        <v>89</v>
      </c>
      <c r="B24" s="592"/>
      <c r="C24" s="592"/>
      <c r="D24" s="592"/>
      <c r="E24" s="580"/>
      <c r="F24" s="36">
        <v>196989701.00999999</v>
      </c>
      <c r="G24" s="559"/>
      <c r="H24" s="568"/>
      <c r="I24" s="36">
        <v>177204749.63999999</v>
      </c>
      <c r="J24" s="36">
        <v>0</v>
      </c>
      <c r="K24" s="420"/>
      <c r="L24" s="420"/>
      <c r="M24" s="420"/>
      <c r="N24" s="420"/>
      <c r="O24" s="420"/>
      <c r="P24" s="425">
        <v>40868</v>
      </c>
      <c r="Q24" s="425">
        <v>41291</v>
      </c>
      <c r="R24" s="425">
        <v>41333</v>
      </c>
      <c r="S24" s="425">
        <v>41472</v>
      </c>
      <c r="T24" s="425">
        <v>41541</v>
      </c>
      <c r="U24" s="425">
        <v>41771</v>
      </c>
      <c r="V24" s="425">
        <v>41771</v>
      </c>
      <c r="W24" s="425">
        <v>42080</v>
      </c>
      <c r="X24" s="425">
        <v>42157</v>
      </c>
      <c r="Y24" s="425">
        <v>42191</v>
      </c>
      <c r="Z24" s="562"/>
      <c r="AA24" s="571"/>
      <c r="AB24" s="553"/>
      <c r="AC24" s="553"/>
      <c r="AD24" s="553"/>
      <c r="AE24" s="553"/>
      <c r="AF24" s="592"/>
      <c r="AG24" s="600"/>
      <c r="AH24" s="425"/>
      <c r="AI24" s="556"/>
      <c r="AJ24" s="595"/>
      <c r="AK24" s="581"/>
      <c r="AL24" s="565"/>
      <c r="AM24" s="574"/>
      <c r="AN24" s="574"/>
      <c r="AO24" s="565"/>
      <c r="AP24" s="565"/>
      <c r="AQ24" s="565"/>
      <c r="AR24" s="565"/>
      <c r="AS24" s="574"/>
      <c r="AT24" s="574"/>
      <c r="AU24" s="620"/>
    </row>
    <row r="25" spans="1:47" x14ac:dyDescent="0.35">
      <c r="A25" s="174" t="s">
        <v>87</v>
      </c>
      <c r="B25" s="589">
        <v>6</v>
      </c>
      <c r="C25" s="593" t="s">
        <v>152</v>
      </c>
      <c r="D25" s="594" t="s">
        <v>163</v>
      </c>
      <c r="E25" s="578" t="s">
        <v>3</v>
      </c>
      <c r="F25" s="34">
        <v>18400000</v>
      </c>
      <c r="G25" s="566">
        <v>1</v>
      </c>
      <c r="H25" s="566">
        <f>1-G25</f>
        <v>0</v>
      </c>
      <c r="I25" s="34">
        <f>G25*$F25/($G25+1.1*$H25)</f>
        <v>18400000</v>
      </c>
      <c r="J25" s="34">
        <f>1.1*H25*$F25/($G25+1.1*$H25)</f>
        <v>0</v>
      </c>
      <c r="K25" s="417" t="s">
        <v>113</v>
      </c>
      <c r="L25" s="417" t="s">
        <v>61</v>
      </c>
      <c r="M25" s="417" t="s">
        <v>124</v>
      </c>
      <c r="N25" s="417" t="s">
        <v>125</v>
      </c>
      <c r="O25" s="421" t="s">
        <v>77</v>
      </c>
      <c r="P25" s="423"/>
      <c r="Q25" s="423"/>
      <c r="R25" s="423">
        <v>40758</v>
      </c>
      <c r="S25" s="423">
        <v>40765</v>
      </c>
      <c r="T25" s="423">
        <v>40766</v>
      </c>
      <c r="U25" s="423">
        <v>40794</v>
      </c>
      <c r="V25" s="423">
        <v>40794</v>
      </c>
      <c r="W25" s="423">
        <v>40884</v>
      </c>
      <c r="X25" s="423">
        <v>40891</v>
      </c>
      <c r="Y25" s="423">
        <v>40906</v>
      </c>
      <c r="Z25" s="582"/>
      <c r="AA25" s="569"/>
      <c r="AB25" s="551">
        <f>Z25</f>
        <v>0</v>
      </c>
      <c r="AC25" s="551">
        <f>IF(G25=0,IF(H25=0,0,G25*$AB25/($G25+1.1*$H25)),G25*$AB25/($G25+1.1*$H25))</f>
        <v>0</v>
      </c>
      <c r="AD25" s="551">
        <f>IF(G25=0,IF(H25=0,0,1.1*H25*$AB25/($G25+1.1*$H25)),1.1*H25*$AB25/($G25+1.1*$H25))</f>
        <v>0</v>
      </c>
      <c r="AE25" s="410"/>
      <c r="AF25" s="589"/>
      <c r="AG25" s="589"/>
      <c r="AH25" s="423">
        <v>41997</v>
      </c>
      <c r="AI25" s="621"/>
      <c r="AJ25" s="581"/>
      <c r="AK25" s="581"/>
      <c r="AL25" s="334"/>
      <c r="AM25" s="572" t="str">
        <f>IF(AB25=0,"",AI25/AB25)</f>
        <v/>
      </c>
      <c r="AN25" s="572"/>
      <c r="AO25" s="563"/>
      <c r="AP25" s="563"/>
      <c r="AQ25" s="563"/>
      <c r="AR25" s="414"/>
      <c r="AS25" s="572">
        <f>IF(AB25=0,1,1-AM25)</f>
        <v>1</v>
      </c>
      <c r="AT25" s="572">
        <f>1-AN25</f>
        <v>1</v>
      </c>
      <c r="AU25" s="618"/>
    </row>
    <row r="26" spans="1:47" x14ac:dyDescent="0.35">
      <c r="A26" s="175" t="s">
        <v>88</v>
      </c>
      <c r="B26" s="590"/>
      <c r="C26" s="590"/>
      <c r="D26" s="590"/>
      <c r="E26" s="579"/>
      <c r="F26" s="35">
        <v>45000000</v>
      </c>
      <c r="G26" s="567"/>
      <c r="H26" s="567"/>
      <c r="I26" s="35">
        <f>G25*$F26/($G25+1.1*$H25)</f>
        <v>45000000</v>
      </c>
      <c r="J26" s="35">
        <f>1.1*H25*$F26/($G25+1.1*$H25)</f>
        <v>0</v>
      </c>
      <c r="K26" s="418"/>
      <c r="L26" s="418"/>
      <c r="M26" s="418"/>
      <c r="N26" s="418"/>
      <c r="O26" s="418"/>
      <c r="P26" s="424"/>
      <c r="Q26" s="424"/>
      <c r="R26" s="424"/>
      <c r="S26" s="424">
        <v>43069</v>
      </c>
      <c r="T26" s="424"/>
      <c r="U26" s="424"/>
      <c r="V26" s="424"/>
      <c r="W26" s="424"/>
      <c r="X26" s="424"/>
      <c r="Y26" s="424"/>
      <c r="Z26" s="583"/>
      <c r="AA26" s="570"/>
      <c r="AB26" s="552"/>
      <c r="AC26" s="552"/>
      <c r="AD26" s="552"/>
      <c r="AE26" s="411"/>
      <c r="AF26" s="590"/>
      <c r="AG26" s="590"/>
      <c r="AH26" s="424">
        <v>43495</v>
      </c>
      <c r="AI26" s="555"/>
      <c r="AJ26" s="581"/>
      <c r="AK26" s="581"/>
      <c r="AL26" s="335"/>
      <c r="AM26" s="573"/>
      <c r="AN26" s="573"/>
      <c r="AO26" s="564"/>
      <c r="AP26" s="564"/>
      <c r="AQ26" s="564"/>
      <c r="AR26" s="415"/>
      <c r="AS26" s="573"/>
      <c r="AT26" s="573"/>
      <c r="AU26" s="619"/>
    </row>
    <row r="27" spans="1:47" x14ac:dyDescent="0.35">
      <c r="A27" s="176" t="s">
        <v>89</v>
      </c>
      <c r="B27" s="592"/>
      <c r="C27" s="592"/>
      <c r="D27" s="592"/>
      <c r="E27" s="580"/>
      <c r="F27" s="36"/>
      <c r="G27" s="568"/>
      <c r="H27" s="568"/>
      <c r="I27" s="36">
        <f>G25*$F27/($G25+1.1*$H25)</f>
        <v>0</v>
      </c>
      <c r="J27" s="36">
        <f>1.1*H25*$F27/($G25+1.1*$H25)</f>
        <v>0</v>
      </c>
      <c r="K27" s="420"/>
      <c r="L27" s="420"/>
      <c r="M27" s="420"/>
      <c r="N27" s="420"/>
      <c r="O27" s="420"/>
      <c r="P27" s="425"/>
      <c r="Q27" s="425"/>
      <c r="R27" s="425">
        <v>41852</v>
      </c>
      <c r="S27" s="425"/>
      <c r="T27" s="425"/>
      <c r="U27" s="425"/>
      <c r="V27" s="425"/>
      <c r="W27" s="425"/>
      <c r="X27" s="425"/>
      <c r="Y27" s="425"/>
      <c r="Z27" s="584"/>
      <c r="AA27" s="571"/>
      <c r="AB27" s="553"/>
      <c r="AC27" s="553"/>
      <c r="AD27" s="553"/>
      <c r="AE27" s="412"/>
      <c r="AF27" s="592"/>
      <c r="AG27" s="592"/>
      <c r="AH27" s="425"/>
      <c r="AI27" s="556"/>
      <c r="AJ27" s="581"/>
      <c r="AK27" s="581"/>
      <c r="AL27" s="336"/>
      <c r="AM27" s="574"/>
      <c r="AN27" s="574"/>
      <c r="AO27" s="565"/>
      <c r="AP27" s="565"/>
      <c r="AQ27" s="565"/>
      <c r="AR27" s="416"/>
      <c r="AS27" s="574"/>
      <c r="AT27" s="574"/>
      <c r="AU27" s="620"/>
    </row>
    <row r="28" spans="1:47" x14ac:dyDescent="0.35">
      <c r="A28" s="174" t="s">
        <v>87</v>
      </c>
      <c r="B28" s="589">
        <v>7</v>
      </c>
      <c r="C28" s="593" t="s">
        <v>145</v>
      </c>
      <c r="D28" s="594" t="s">
        <v>164</v>
      </c>
      <c r="E28" s="578" t="s">
        <v>3</v>
      </c>
      <c r="F28" s="34">
        <v>49500000</v>
      </c>
      <c r="G28" s="566">
        <v>0.05</v>
      </c>
      <c r="H28" s="566">
        <f>1-G28</f>
        <v>0.95</v>
      </c>
      <c r="I28" s="34">
        <f>G28*$F28/($G28+1.1*$H28)</f>
        <v>2260273.9726027399</v>
      </c>
      <c r="J28" s="34">
        <f>1.1*H28*$F28/($G28+1.1*$H28)</f>
        <v>47239726.02739726</v>
      </c>
      <c r="K28" s="417" t="s">
        <v>113</v>
      </c>
      <c r="L28" s="417" t="s">
        <v>61</v>
      </c>
      <c r="M28" s="417" t="s">
        <v>124</v>
      </c>
      <c r="N28" s="417" t="s">
        <v>125</v>
      </c>
      <c r="O28" s="421" t="s">
        <v>144</v>
      </c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586"/>
      <c r="AA28" s="585" t="s">
        <v>625</v>
      </c>
      <c r="AB28" s="551">
        <f>35413802+6053571*1.0559</f>
        <v>41805767.618900001</v>
      </c>
      <c r="AC28" s="551">
        <f>IF(G28=0,IF(H28=0,0,G28*$AB28/($G28+1.1*$H28)),G28*$AB28/($G28+1.1*$H28))</f>
        <v>1908939.1606803655</v>
      </c>
      <c r="AD28" s="551">
        <f>IF(G28=0,IF(H28=0,0,1.1*H28*$AB28/($G28+1.1*$H28)),1.1*H28*$AB28/($G28+1.1*$H28))</f>
        <v>39896828.458219633</v>
      </c>
      <c r="AE28" s="551"/>
      <c r="AF28" s="597" t="s">
        <v>624</v>
      </c>
      <c r="AG28" s="610" t="s">
        <v>677</v>
      </c>
      <c r="AH28" s="423">
        <v>41688</v>
      </c>
      <c r="AI28" s="601"/>
      <c r="AJ28" s="595"/>
      <c r="AK28" s="595"/>
      <c r="AL28" s="334"/>
      <c r="AM28" s="572">
        <f>IF(AB28=0,"",AI28/AB28)</f>
        <v>0</v>
      </c>
      <c r="AN28" s="572">
        <v>0.05</v>
      </c>
      <c r="AO28" s="563"/>
      <c r="AP28" s="563"/>
      <c r="AQ28" s="563"/>
      <c r="AR28" s="414"/>
      <c r="AS28" s="572">
        <f>IF(AB28=0,1,1-AM28)</f>
        <v>1</v>
      </c>
      <c r="AT28" s="572">
        <f>1-AN28</f>
        <v>0.95</v>
      </c>
      <c r="AU28" s="602"/>
    </row>
    <row r="29" spans="1:47" x14ac:dyDescent="0.35">
      <c r="A29" s="175" t="s">
        <v>88</v>
      </c>
      <c r="B29" s="590"/>
      <c r="C29" s="590"/>
      <c r="D29" s="590"/>
      <c r="E29" s="579"/>
      <c r="F29" s="35"/>
      <c r="G29" s="567"/>
      <c r="H29" s="567"/>
      <c r="I29" s="35">
        <f>G28*$F29/($G28+1.1*$H28)</f>
        <v>0</v>
      </c>
      <c r="J29" s="35">
        <f>1.1*H28*$F29/($G28+1.1*$H28)</f>
        <v>0</v>
      </c>
      <c r="K29" s="418"/>
      <c r="L29" s="418"/>
      <c r="M29" s="418"/>
      <c r="N29" s="418"/>
      <c r="O29" s="418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587"/>
      <c r="AA29" s="570"/>
      <c r="AB29" s="552"/>
      <c r="AC29" s="552"/>
      <c r="AD29" s="552"/>
      <c r="AE29" s="552"/>
      <c r="AF29" s="590"/>
      <c r="AG29" s="590"/>
      <c r="AH29" s="424">
        <v>43799</v>
      </c>
      <c r="AI29" s="555"/>
      <c r="AJ29" s="595"/>
      <c r="AK29" s="595"/>
      <c r="AL29" s="335"/>
      <c r="AM29" s="573"/>
      <c r="AN29" s="573"/>
      <c r="AO29" s="564"/>
      <c r="AP29" s="564"/>
      <c r="AQ29" s="564"/>
      <c r="AR29" s="415"/>
      <c r="AS29" s="573"/>
      <c r="AT29" s="573"/>
      <c r="AU29" s="603"/>
    </row>
    <row r="30" spans="1:47" x14ac:dyDescent="0.35">
      <c r="A30" s="176" t="s">
        <v>89</v>
      </c>
      <c r="B30" s="592"/>
      <c r="C30" s="592"/>
      <c r="D30" s="592"/>
      <c r="E30" s="580"/>
      <c r="F30" s="350">
        <f>AB28</f>
        <v>41805767.618900001</v>
      </c>
      <c r="G30" s="568"/>
      <c r="H30" s="568"/>
      <c r="I30" s="36">
        <f>G28*$F30/($G28+1.1*$H28)</f>
        <v>1908939.1606803655</v>
      </c>
      <c r="J30" s="36">
        <f>1.1*H28*$F30/($G28+1.1*$H28)</f>
        <v>39896828.458219633</v>
      </c>
      <c r="K30" s="420"/>
      <c r="L30" s="420"/>
      <c r="M30" s="420"/>
      <c r="N30" s="420"/>
      <c r="O30" s="420"/>
      <c r="P30" s="425">
        <v>41757</v>
      </c>
      <c r="Q30" s="425">
        <v>42236</v>
      </c>
      <c r="R30" s="425">
        <v>42114</v>
      </c>
      <c r="S30" s="425">
        <v>42712</v>
      </c>
      <c r="T30" s="425">
        <v>42716</v>
      </c>
      <c r="U30" s="425">
        <v>42809</v>
      </c>
      <c r="V30" s="425">
        <f>U30</f>
        <v>42809</v>
      </c>
      <c r="W30" s="425">
        <v>42958</v>
      </c>
      <c r="X30" s="425">
        <v>42971</v>
      </c>
      <c r="Y30" s="424">
        <v>42993</v>
      </c>
      <c r="Z30" s="588"/>
      <c r="AA30" s="571"/>
      <c r="AB30" s="553"/>
      <c r="AC30" s="553"/>
      <c r="AD30" s="553"/>
      <c r="AE30" s="553"/>
      <c r="AF30" s="592"/>
      <c r="AG30" s="592"/>
      <c r="AH30" s="424"/>
      <c r="AI30" s="556"/>
      <c r="AJ30" s="595"/>
      <c r="AK30" s="595"/>
      <c r="AL30" s="336"/>
      <c r="AM30" s="574"/>
      <c r="AN30" s="574"/>
      <c r="AO30" s="565"/>
      <c r="AP30" s="565"/>
      <c r="AQ30" s="565"/>
      <c r="AR30" s="416"/>
      <c r="AS30" s="574"/>
      <c r="AT30" s="574"/>
      <c r="AU30" s="605"/>
    </row>
    <row r="31" spans="1:47" x14ac:dyDescent="0.35">
      <c r="A31" s="174" t="s">
        <v>87</v>
      </c>
      <c r="B31" s="589">
        <v>8</v>
      </c>
      <c r="C31" s="593" t="s">
        <v>302</v>
      </c>
      <c r="D31" s="610" t="s">
        <v>550</v>
      </c>
      <c r="E31" s="578" t="s">
        <v>3</v>
      </c>
      <c r="F31" s="34">
        <v>19400000</v>
      </c>
      <c r="G31" s="566">
        <v>0.05</v>
      </c>
      <c r="H31" s="566">
        <f>1-G31</f>
        <v>0.95</v>
      </c>
      <c r="I31" s="34">
        <f>G31*$F31/($G31+1.1*$H31)</f>
        <v>885844.74885844754</v>
      </c>
      <c r="J31" s="34">
        <f>1.1*H31*$F31/($G31+1.1*$H31)</f>
        <v>18514155.251141552</v>
      </c>
      <c r="K31" s="417" t="s">
        <v>113</v>
      </c>
      <c r="L31" s="417" t="s">
        <v>61</v>
      </c>
      <c r="M31" s="417" t="s">
        <v>124</v>
      </c>
      <c r="N31" s="417" t="s">
        <v>125</v>
      </c>
      <c r="O31" s="421" t="s">
        <v>77</v>
      </c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560"/>
      <c r="AA31" s="569"/>
      <c r="AB31" s="551">
        <f>Z31</f>
        <v>0</v>
      </c>
      <c r="AC31" s="551">
        <f>IF(G31=0,IF(H31=0,0,G31*$AB31/($G31+1.1*$H31)),G31*$AB31/($G31+1.1*$H31))</f>
        <v>0</v>
      </c>
      <c r="AD31" s="551">
        <f>IF(G31=0,IF(H31=0,0,1.1*H31*$AB31/($G31+1.1*$H31)),1.1*H31*$AB31/($G31+1.1*$H31))</f>
        <v>0</v>
      </c>
      <c r="AE31" s="410"/>
      <c r="AF31" s="589"/>
      <c r="AG31" s="589"/>
      <c r="AH31" s="423"/>
      <c r="AI31" s="621"/>
      <c r="AJ31" s="581"/>
      <c r="AK31" s="581"/>
      <c r="AL31" s="334"/>
      <c r="AM31" s="572" t="str">
        <f>IF(AB31=0,"",AI31/AB31)</f>
        <v/>
      </c>
      <c r="AN31" s="572"/>
      <c r="AO31" s="563"/>
      <c r="AP31" s="563"/>
      <c r="AQ31" s="563"/>
      <c r="AR31" s="414"/>
      <c r="AS31" s="572">
        <f>IF(AB31=0,1,1-AM31)</f>
        <v>1</v>
      </c>
      <c r="AT31" s="572">
        <f>1-AN31</f>
        <v>1</v>
      </c>
      <c r="AU31" s="602"/>
    </row>
    <row r="32" spans="1:47" x14ac:dyDescent="0.35">
      <c r="A32" s="175" t="s">
        <v>88</v>
      </c>
      <c r="B32" s="590"/>
      <c r="C32" s="590"/>
      <c r="D32" s="590"/>
      <c r="E32" s="579"/>
      <c r="F32" s="35"/>
      <c r="G32" s="567"/>
      <c r="H32" s="567"/>
      <c r="I32" s="35"/>
      <c r="J32" s="35"/>
      <c r="K32" s="418"/>
      <c r="L32" s="418"/>
      <c r="M32" s="418"/>
      <c r="N32" s="418"/>
      <c r="O32" s="418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561"/>
      <c r="AA32" s="570"/>
      <c r="AB32" s="552"/>
      <c r="AC32" s="552"/>
      <c r="AD32" s="552"/>
      <c r="AE32" s="411"/>
      <c r="AF32" s="590"/>
      <c r="AG32" s="590"/>
      <c r="AH32" s="424"/>
      <c r="AI32" s="555"/>
      <c r="AJ32" s="581"/>
      <c r="AK32" s="581"/>
      <c r="AL32" s="335"/>
      <c r="AM32" s="573"/>
      <c r="AN32" s="573"/>
      <c r="AO32" s="564"/>
      <c r="AP32" s="564"/>
      <c r="AQ32" s="564"/>
      <c r="AR32" s="415"/>
      <c r="AS32" s="573"/>
      <c r="AT32" s="573"/>
      <c r="AU32" s="603"/>
    </row>
    <row r="33" spans="1:47" x14ac:dyDescent="0.35">
      <c r="A33" s="176" t="s">
        <v>89</v>
      </c>
      <c r="B33" s="592"/>
      <c r="C33" s="592"/>
      <c r="D33" s="592"/>
      <c r="E33" s="580"/>
      <c r="F33" s="36">
        <v>0</v>
      </c>
      <c r="G33" s="568"/>
      <c r="H33" s="568"/>
      <c r="I33" s="36">
        <v>0</v>
      </c>
      <c r="J33" s="36">
        <v>0</v>
      </c>
      <c r="K33" s="420"/>
      <c r="L33" s="420"/>
      <c r="M33" s="420"/>
      <c r="N33" s="420"/>
      <c r="O33" s="420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562"/>
      <c r="AA33" s="571"/>
      <c r="AB33" s="553"/>
      <c r="AC33" s="553"/>
      <c r="AD33" s="553"/>
      <c r="AE33" s="412"/>
      <c r="AF33" s="592"/>
      <c r="AG33" s="592"/>
      <c r="AH33" s="425"/>
      <c r="AI33" s="556"/>
      <c r="AJ33" s="581"/>
      <c r="AK33" s="581"/>
      <c r="AL33" s="336"/>
      <c r="AM33" s="574"/>
      <c r="AN33" s="574"/>
      <c r="AO33" s="565"/>
      <c r="AP33" s="565"/>
      <c r="AQ33" s="565"/>
      <c r="AR33" s="416"/>
      <c r="AS33" s="574"/>
      <c r="AT33" s="574"/>
      <c r="AU33" s="605"/>
    </row>
    <row r="34" spans="1:47" x14ac:dyDescent="0.35">
      <c r="A34" s="174" t="s">
        <v>87</v>
      </c>
      <c r="B34" s="589">
        <v>12</v>
      </c>
      <c r="C34" s="597" t="s">
        <v>499</v>
      </c>
      <c r="D34" s="610" t="s">
        <v>500</v>
      </c>
      <c r="E34" s="578" t="s">
        <v>3</v>
      </c>
      <c r="F34" s="34">
        <v>4000000</v>
      </c>
      <c r="G34" s="566">
        <v>0.66</v>
      </c>
      <c r="H34" s="566">
        <f>1-G34</f>
        <v>0.33999999999999997</v>
      </c>
      <c r="I34" s="34">
        <f>G34*$F34/($G34+1.1*$H34)</f>
        <v>2553191.489361702</v>
      </c>
      <c r="J34" s="34">
        <f>1.1*H34*$F34/($G34+1.1*$H34)</f>
        <v>1446808.5106382978</v>
      </c>
      <c r="K34" s="417" t="s">
        <v>113</v>
      </c>
      <c r="L34" s="417" t="s">
        <v>61</v>
      </c>
      <c r="M34" s="417" t="s">
        <v>124</v>
      </c>
      <c r="N34" s="417" t="s">
        <v>125</v>
      </c>
      <c r="O34" s="421" t="s">
        <v>144</v>
      </c>
      <c r="P34" s="423">
        <v>42212</v>
      </c>
      <c r="Q34" s="423">
        <v>42297</v>
      </c>
      <c r="R34" s="423">
        <v>42212</v>
      </c>
      <c r="S34" s="423">
        <v>42297</v>
      </c>
      <c r="T34" s="423">
        <v>42310</v>
      </c>
      <c r="U34" s="423">
        <f>T34+49</f>
        <v>42359</v>
      </c>
      <c r="V34" s="423">
        <f>U34</f>
        <v>42359</v>
      </c>
      <c r="W34" s="423">
        <v>42387</v>
      </c>
      <c r="X34" s="423">
        <v>42401</v>
      </c>
      <c r="Y34" s="423">
        <v>42430</v>
      </c>
      <c r="Z34" s="560"/>
      <c r="AA34" s="569" t="s">
        <v>113</v>
      </c>
      <c r="AB34" s="551">
        <f>Z34</f>
        <v>0</v>
      </c>
      <c r="AC34" s="551">
        <f>IF(G34=0,IF(H34=0,0,G34*$AB34/($G34+1.1*$H34)),G34*$AB34/($G34+1.1*$H34))</f>
        <v>0</v>
      </c>
      <c r="AD34" s="551">
        <f>IF(G34=0,IF(H34=0,0,1.1*H34*$AB34/($G34+1.1*$H34)),1.1*H34*$AB34/($G34+1.1*$H34))</f>
        <v>0</v>
      </c>
      <c r="AE34" s="410"/>
      <c r="AF34" s="597" t="s">
        <v>578</v>
      </c>
      <c r="AG34" s="624" t="s">
        <v>678</v>
      </c>
      <c r="AH34" s="423">
        <f>Y34+4*365+2</f>
        <v>43892</v>
      </c>
      <c r="AI34" s="601"/>
      <c r="AJ34" s="581"/>
      <c r="AK34" s="581"/>
      <c r="AL34" s="334"/>
      <c r="AM34" s="572" t="str">
        <f>IF(AB34=0,"",AI34/AB34)</f>
        <v/>
      </c>
      <c r="AN34" s="572">
        <v>0.8</v>
      </c>
      <c r="AO34" s="563"/>
      <c r="AP34" s="563"/>
      <c r="AQ34" s="563"/>
      <c r="AR34" s="414"/>
      <c r="AS34" s="572">
        <f>IF(AB34=0,1,1-AM34)</f>
        <v>1</v>
      </c>
      <c r="AT34" s="572">
        <f>1-AN34</f>
        <v>0.19999999999999996</v>
      </c>
      <c r="AU34" s="602"/>
    </row>
    <row r="35" spans="1:47" x14ac:dyDescent="0.35">
      <c r="A35" s="175" t="s">
        <v>88</v>
      </c>
      <c r="B35" s="590"/>
      <c r="C35" s="590"/>
      <c r="D35" s="590"/>
      <c r="E35" s="579"/>
      <c r="F35" s="35"/>
      <c r="G35" s="567"/>
      <c r="H35" s="567"/>
      <c r="I35" s="35">
        <f>G34*$F35/($G34+1.1*$H34)</f>
        <v>0</v>
      </c>
      <c r="J35" s="35">
        <f>1.1*H34*$F35/($G34+1.1*$H34)</f>
        <v>0</v>
      </c>
      <c r="K35" s="418"/>
      <c r="L35" s="418"/>
      <c r="M35" s="418"/>
      <c r="N35" s="418"/>
      <c r="O35" s="418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561"/>
      <c r="AA35" s="570"/>
      <c r="AB35" s="552"/>
      <c r="AC35" s="552"/>
      <c r="AD35" s="552"/>
      <c r="AE35" s="411"/>
      <c r="AF35" s="590"/>
      <c r="AG35" s="625"/>
      <c r="AH35" s="424">
        <f>Y36+1462</f>
        <v>44019</v>
      </c>
      <c r="AI35" s="555"/>
      <c r="AJ35" s="581"/>
      <c r="AK35" s="581"/>
      <c r="AL35" s="335"/>
      <c r="AM35" s="573"/>
      <c r="AN35" s="573"/>
      <c r="AO35" s="564"/>
      <c r="AP35" s="564"/>
      <c r="AQ35" s="564"/>
      <c r="AR35" s="415"/>
      <c r="AS35" s="573"/>
      <c r="AT35" s="573"/>
      <c r="AU35" s="603"/>
    </row>
    <row r="36" spans="1:47" x14ac:dyDescent="0.35">
      <c r="A36" s="176" t="s">
        <v>89</v>
      </c>
      <c r="B36" s="592"/>
      <c r="C36" s="592"/>
      <c r="D36" s="592"/>
      <c r="E36" s="580"/>
      <c r="F36" s="36"/>
      <c r="G36" s="568"/>
      <c r="H36" s="568"/>
      <c r="I36" s="36">
        <f>G34*$F36/($G34+1.1*$H34)</f>
        <v>0</v>
      </c>
      <c r="J36" s="36">
        <f>1.1*H34*$F36/($G34+1.1*$H34)</f>
        <v>0</v>
      </c>
      <c r="K36" s="420"/>
      <c r="L36" s="420"/>
      <c r="M36" s="420"/>
      <c r="N36" s="420"/>
      <c r="O36" s="420"/>
      <c r="P36" s="425">
        <v>42212</v>
      </c>
      <c r="Q36" s="425">
        <v>42404</v>
      </c>
      <c r="R36" s="425">
        <f>P36</f>
        <v>42212</v>
      </c>
      <c r="S36" s="425">
        <v>42358</v>
      </c>
      <c r="T36" s="425">
        <v>42408</v>
      </c>
      <c r="U36" s="425">
        <v>42475</v>
      </c>
      <c r="V36" s="425">
        <v>42475</v>
      </c>
      <c r="W36" s="425">
        <v>42530</v>
      </c>
      <c r="X36" s="425">
        <v>42515</v>
      </c>
      <c r="Y36" s="425">
        <v>42557</v>
      </c>
      <c r="Z36" s="562"/>
      <c r="AA36" s="571"/>
      <c r="AB36" s="553"/>
      <c r="AC36" s="553"/>
      <c r="AD36" s="553"/>
      <c r="AE36" s="412"/>
      <c r="AF36" s="592"/>
      <c r="AG36" s="626"/>
      <c r="AH36" s="230" t="s">
        <v>577</v>
      </c>
      <c r="AI36" s="556"/>
      <c r="AJ36" s="581"/>
      <c r="AK36" s="581"/>
      <c r="AL36" s="336"/>
      <c r="AM36" s="574"/>
      <c r="AN36" s="574"/>
      <c r="AO36" s="565"/>
      <c r="AP36" s="565"/>
      <c r="AQ36" s="565"/>
      <c r="AR36" s="416"/>
      <c r="AS36" s="574"/>
      <c r="AT36" s="574"/>
      <c r="AU36" s="605"/>
    </row>
    <row r="37" spans="1:47" ht="12.75" customHeight="1" x14ac:dyDescent="0.35">
      <c r="A37" s="174" t="s">
        <v>87</v>
      </c>
      <c r="B37" s="589">
        <v>13</v>
      </c>
      <c r="C37" s="597" t="s">
        <v>547</v>
      </c>
      <c r="D37" s="610" t="s">
        <v>548</v>
      </c>
      <c r="E37" s="578" t="s">
        <v>3</v>
      </c>
      <c r="F37" s="34">
        <v>5000000</v>
      </c>
      <c r="G37" s="566">
        <v>0.66</v>
      </c>
      <c r="H37" s="566">
        <f>1-G37</f>
        <v>0.33999999999999997</v>
      </c>
      <c r="I37" s="34">
        <f>G37*$F37/($G37+1.1*$H37)</f>
        <v>3191489.3617021274</v>
      </c>
      <c r="J37" s="34">
        <f>1.1*H37*$F37/($G37+1.1*$H37)</f>
        <v>1808510.6382978724</v>
      </c>
      <c r="K37" s="417" t="s">
        <v>113</v>
      </c>
      <c r="L37" s="417" t="s">
        <v>61</v>
      </c>
      <c r="M37" s="417" t="s">
        <v>124</v>
      </c>
      <c r="N37" s="417" t="s">
        <v>125</v>
      </c>
      <c r="O37" s="421" t="s">
        <v>144</v>
      </c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560"/>
      <c r="AA37" s="627" t="s">
        <v>113</v>
      </c>
      <c r="AB37" s="551">
        <f>Z37</f>
        <v>0</v>
      </c>
      <c r="AC37" s="551">
        <f>IF(G37=0,IF(H37=0,0,G37*$AB37/($G37+1.1*$H37)),G37*$AB37/($G37+1.1*$H37))</f>
        <v>0</v>
      </c>
      <c r="AD37" s="551">
        <f>IF(G37=0,IF(H37=0,0,1.1*H37*$AB37/($G37+1.1*$H37)),1.1*H37*$AB37/($G37+1.1*$H37))</f>
        <v>0</v>
      </c>
      <c r="AE37" s="410"/>
      <c r="AF37" s="589"/>
      <c r="AG37" s="624" t="s">
        <v>679</v>
      </c>
      <c r="AH37" s="423"/>
      <c r="AI37" s="601"/>
      <c r="AJ37" s="623"/>
      <c r="AK37" s="581"/>
      <c r="AL37" s="334"/>
      <c r="AM37" s="572" t="str">
        <f>IF(AB37=0,"",AI37/AB37)</f>
        <v/>
      </c>
      <c r="AN37" s="572"/>
      <c r="AO37" s="563"/>
      <c r="AP37" s="563"/>
      <c r="AQ37" s="563"/>
      <c r="AR37" s="414"/>
      <c r="AS37" s="572">
        <f>IF(AB37=0,1,1-AM37)</f>
        <v>1</v>
      </c>
      <c r="AT37" s="572">
        <f>1-AN37</f>
        <v>1</v>
      </c>
      <c r="AU37" s="602"/>
    </row>
    <row r="38" spans="1:47" x14ac:dyDescent="0.35">
      <c r="A38" s="175" t="s">
        <v>88</v>
      </c>
      <c r="B38" s="590"/>
      <c r="C38" s="590"/>
      <c r="D38" s="590"/>
      <c r="E38" s="579"/>
      <c r="F38" s="35"/>
      <c r="G38" s="567"/>
      <c r="H38" s="567"/>
      <c r="I38" s="35">
        <f>G37*$F38/($G37+1.1*$H37)</f>
        <v>0</v>
      </c>
      <c r="J38" s="35">
        <f>1.1*H37*$F38/($G37+1.1*$H37)</f>
        <v>0</v>
      </c>
      <c r="K38" s="418"/>
      <c r="L38" s="418"/>
      <c r="M38" s="418"/>
      <c r="N38" s="418"/>
      <c r="O38" s="418"/>
      <c r="P38" s="424"/>
      <c r="Q38" s="424"/>
      <c r="R38" s="424"/>
      <c r="S38" s="424"/>
      <c r="T38" s="216"/>
      <c r="U38" s="216"/>
      <c r="V38" s="216"/>
      <c r="W38" s="424"/>
      <c r="X38" s="424"/>
      <c r="Y38" s="216"/>
      <c r="Z38" s="561"/>
      <c r="AA38" s="570"/>
      <c r="AB38" s="552"/>
      <c r="AC38" s="552"/>
      <c r="AD38" s="552"/>
      <c r="AE38" s="411"/>
      <c r="AF38" s="590"/>
      <c r="AG38" s="625"/>
      <c r="AH38" s="424">
        <f>Y39+3*365</f>
        <v>43867</v>
      </c>
      <c r="AI38" s="555"/>
      <c r="AJ38" s="581"/>
      <c r="AK38" s="581"/>
      <c r="AL38" s="335"/>
      <c r="AM38" s="573"/>
      <c r="AN38" s="573"/>
      <c r="AO38" s="564"/>
      <c r="AP38" s="564"/>
      <c r="AQ38" s="564"/>
      <c r="AR38" s="415"/>
      <c r="AS38" s="573"/>
      <c r="AT38" s="573"/>
      <c r="AU38" s="603"/>
    </row>
    <row r="39" spans="1:47" ht="42" customHeight="1" x14ac:dyDescent="0.35">
      <c r="A39" s="176" t="s">
        <v>89</v>
      </c>
      <c r="B39" s="592"/>
      <c r="C39" s="592"/>
      <c r="D39" s="592"/>
      <c r="E39" s="580"/>
      <c r="F39" s="36"/>
      <c r="G39" s="568"/>
      <c r="H39" s="568"/>
      <c r="I39" s="36">
        <f>G37*$F39/($G37+1.1*$H37)</f>
        <v>0</v>
      </c>
      <c r="J39" s="36">
        <f>1.1*H37*$F39/($G37+1.1*$H37)</f>
        <v>0</v>
      </c>
      <c r="K39" s="420"/>
      <c r="L39" s="420"/>
      <c r="M39" s="420"/>
      <c r="N39" s="420"/>
      <c r="O39" s="420"/>
      <c r="P39" s="425"/>
      <c r="Q39" s="425"/>
      <c r="R39" s="425"/>
      <c r="S39" s="425">
        <v>42453</v>
      </c>
      <c r="T39" s="425">
        <v>42614</v>
      </c>
      <c r="U39" s="425">
        <v>42656</v>
      </c>
      <c r="V39" s="425">
        <f>U39</f>
        <v>42656</v>
      </c>
      <c r="W39" s="425">
        <v>43091</v>
      </c>
      <c r="X39" s="425">
        <v>42716</v>
      </c>
      <c r="Y39" s="425">
        <v>42772</v>
      </c>
      <c r="Z39" s="562"/>
      <c r="AA39" s="571"/>
      <c r="AB39" s="553"/>
      <c r="AC39" s="553"/>
      <c r="AD39" s="553"/>
      <c r="AE39" s="412"/>
      <c r="AF39" s="592"/>
      <c r="AG39" s="626"/>
      <c r="AH39" s="425"/>
      <c r="AI39" s="556"/>
      <c r="AJ39" s="581"/>
      <c r="AK39" s="581"/>
      <c r="AL39" s="336"/>
      <c r="AM39" s="574"/>
      <c r="AN39" s="574"/>
      <c r="AO39" s="565"/>
      <c r="AP39" s="565"/>
      <c r="AQ39" s="565"/>
      <c r="AR39" s="416"/>
      <c r="AS39" s="574"/>
      <c r="AT39" s="574"/>
      <c r="AU39" s="605"/>
    </row>
    <row r="40" spans="1:47" x14ac:dyDescent="0.35">
      <c r="A40" s="174" t="s">
        <v>87</v>
      </c>
      <c r="B40" s="589">
        <v>9</v>
      </c>
      <c r="C40" s="597" t="s">
        <v>468</v>
      </c>
      <c r="D40" s="594" t="s">
        <v>290</v>
      </c>
      <c r="E40" s="578" t="s">
        <v>2</v>
      </c>
      <c r="F40" s="34">
        <v>200</v>
      </c>
      <c r="G40" s="566">
        <v>0.66</v>
      </c>
      <c r="H40" s="566">
        <f>1-G40</f>
        <v>0.33999999999999997</v>
      </c>
      <c r="I40" s="34">
        <f>G40*$F40/($G40+1.1*$H40)</f>
        <v>127.6595744680851</v>
      </c>
      <c r="J40" s="34">
        <f>1.1*H40*$F40/($G40+1.1*$H40)</f>
        <v>72.340425531914889</v>
      </c>
      <c r="K40" s="417" t="s">
        <v>113</v>
      </c>
      <c r="L40" s="417" t="s">
        <v>62</v>
      </c>
      <c r="M40" s="417" t="s">
        <v>289</v>
      </c>
      <c r="N40" s="417" t="s">
        <v>125</v>
      </c>
      <c r="O40" s="421" t="s">
        <v>77</v>
      </c>
      <c r="P40" s="423"/>
      <c r="Q40" s="423"/>
      <c r="R40" s="423"/>
      <c r="S40" s="423"/>
      <c r="T40" s="423"/>
      <c r="U40" s="423"/>
      <c r="V40" s="423"/>
      <c r="W40" s="423">
        <v>41701</v>
      </c>
      <c r="X40" s="423"/>
      <c r="Y40" s="423">
        <v>41716</v>
      </c>
      <c r="Z40" s="560"/>
      <c r="AA40" s="569" t="s">
        <v>315</v>
      </c>
      <c r="AB40" s="551">
        <f>Z40</f>
        <v>0</v>
      </c>
      <c r="AC40" s="551">
        <f>IF(G40=0,IF(H40=0,0,G40*$AB40/($G40+1.1*$H40)),G40*$AB40/($G40+1.1*$H40))</f>
        <v>0</v>
      </c>
      <c r="AD40" s="551">
        <f>IF(G40=0,IF(H40=0,0,1.1*H40*$AB40/($G40+1.1*$H40)),1.1*H40*$AB40/($G40+1.1*$H40))</f>
        <v>0</v>
      </c>
      <c r="AE40" s="410"/>
      <c r="AF40" s="589" t="s">
        <v>317</v>
      </c>
      <c r="AG40" s="606" t="s">
        <v>316</v>
      </c>
      <c r="AH40" s="423">
        <v>41723</v>
      </c>
      <c r="AI40" s="554"/>
      <c r="AJ40" s="581"/>
      <c r="AK40" s="581"/>
      <c r="AL40" s="334"/>
      <c r="AM40" s="572" t="str">
        <f>IF(AB40=0,"",AI40/AB40)</f>
        <v/>
      </c>
      <c r="AN40" s="572">
        <v>1</v>
      </c>
      <c r="AO40" s="563"/>
      <c r="AP40" s="563"/>
      <c r="AQ40" s="563"/>
      <c r="AR40" s="414"/>
      <c r="AS40" s="572">
        <f>IF(AB40=0,1,1-AM40)</f>
        <v>1</v>
      </c>
      <c r="AT40" s="572">
        <f>1-AN40</f>
        <v>0</v>
      </c>
      <c r="AU40" s="602" t="s">
        <v>292</v>
      </c>
    </row>
    <row r="41" spans="1:47" x14ac:dyDescent="0.35">
      <c r="A41" s="175" t="s">
        <v>88</v>
      </c>
      <c r="B41" s="590"/>
      <c r="C41" s="590"/>
      <c r="D41" s="590"/>
      <c r="E41" s="579"/>
      <c r="F41" s="35"/>
      <c r="G41" s="567"/>
      <c r="H41" s="567"/>
      <c r="I41" s="35">
        <f>G40*$F41/($G40+1.1*$H40)</f>
        <v>0</v>
      </c>
      <c r="J41" s="35">
        <f>1.1*H40*$F41/($G40+1.1*$H40)</f>
        <v>0</v>
      </c>
      <c r="K41" s="418"/>
      <c r="L41" s="418"/>
      <c r="M41" s="418"/>
      <c r="N41" s="418"/>
      <c r="O41" s="418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561"/>
      <c r="AA41" s="570"/>
      <c r="AB41" s="552"/>
      <c r="AC41" s="552"/>
      <c r="AD41" s="552"/>
      <c r="AE41" s="411"/>
      <c r="AF41" s="590"/>
      <c r="AG41" s="607"/>
      <c r="AH41" s="424"/>
      <c r="AI41" s="555"/>
      <c r="AJ41" s="581"/>
      <c r="AK41" s="581"/>
      <c r="AL41" s="335"/>
      <c r="AM41" s="573"/>
      <c r="AN41" s="573"/>
      <c r="AO41" s="564"/>
      <c r="AP41" s="564"/>
      <c r="AQ41" s="564"/>
      <c r="AR41" s="415"/>
      <c r="AS41" s="573"/>
      <c r="AT41" s="573"/>
      <c r="AU41" s="603"/>
    </row>
    <row r="42" spans="1:47" x14ac:dyDescent="0.35">
      <c r="A42" s="176" t="s">
        <v>89</v>
      </c>
      <c r="B42" s="592"/>
      <c r="C42" s="592"/>
      <c r="D42" s="592"/>
      <c r="E42" s="580"/>
      <c r="F42" s="36">
        <v>279.18</v>
      </c>
      <c r="G42" s="568"/>
      <c r="H42" s="568"/>
      <c r="I42" s="36">
        <f>G40*$F42/($G40+1.1*$H40)</f>
        <v>178.2</v>
      </c>
      <c r="J42" s="36">
        <f>1.1*H40*$F42/($G40+1.1*$H40)</f>
        <v>100.97999999999999</v>
      </c>
      <c r="K42" s="420"/>
      <c r="L42" s="420"/>
      <c r="M42" s="420"/>
      <c r="N42" s="420"/>
      <c r="O42" s="420"/>
      <c r="P42" s="425"/>
      <c r="Q42" s="425"/>
      <c r="R42" s="425"/>
      <c r="S42" s="425"/>
      <c r="T42" s="425"/>
      <c r="U42" s="425"/>
      <c r="V42" s="425"/>
      <c r="W42" s="425">
        <v>41731</v>
      </c>
      <c r="X42" s="425"/>
      <c r="Y42" s="425">
        <v>41731</v>
      </c>
      <c r="Z42" s="562"/>
      <c r="AA42" s="571"/>
      <c r="AB42" s="553"/>
      <c r="AC42" s="553"/>
      <c r="AD42" s="553"/>
      <c r="AE42" s="412"/>
      <c r="AF42" s="592"/>
      <c r="AG42" s="609"/>
      <c r="AH42" s="425">
        <v>41731</v>
      </c>
      <c r="AI42" s="556"/>
      <c r="AJ42" s="581"/>
      <c r="AK42" s="581"/>
      <c r="AL42" s="336"/>
      <c r="AM42" s="574"/>
      <c r="AN42" s="574"/>
      <c r="AO42" s="565"/>
      <c r="AP42" s="565"/>
      <c r="AQ42" s="565"/>
      <c r="AR42" s="416"/>
      <c r="AS42" s="574"/>
      <c r="AT42" s="574"/>
      <c r="AU42" s="605"/>
    </row>
    <row r="43" spans="1:47" x14ac:dyDescent="0.35">
      <c r="A43" s="174" t="s">
        <v>87</v>
      </c>
      <c r="B43" s="589">
        <v>10</v>
      </c>
      <c r="C43" s="597" t="s">
        <v>469</v>
      </c>
      <c r="D43" s="594" t="s">
        <v>291</v>
      </c>
      <c r="E43" s="578" t="s">
        <v>2</v>
      </c>
      <c r="F43" s="34">
        <v>7500</v>
      </c>
      <c r="G43" s="566">
        <v>0.66</v>
      </c>
      <c r="H43" s="566">
        <f>1-G43</f>
        <v>0.33999999999999997</v>
      </c>
      <c r="I43" s="34">
        <f>G43*$F43/($G43+1.1*$H43)</f>
        <v>4787.2340425531911</v>
      </c>
      <c r="J43" s="34">
        <f>1.1*H43*$F43/($G43+1.1*$H43)</f>
        <v>2712.7659574468084</v>
      </c>
      <c r="K43" s="417" t="s">
        <v>113</v>
      </c>
      <c r="L43" s="417" t="s">
        <v>62</v>
      </c>
      <c r="M43" s="417" t="s">
        <v>289</v>
      </c>
      <c r="N43" s="417" t="s">
        <v>125</v>
      </c>
      <c r="O43" s="421" t="s">
        <v>77</v>
      </c>
      <c r="P43" s="423"/>
      <c r="Q43" s="423"/>
      <c r="R43" s="423"/>
      <c r="S43" s="423"/>
      <c r="T43" s="423"/>
      <c r="U43" s="423"/>
      <c r="V43" s="423"/>
      <c r="W43" s="423">
        <v>41701</v>
      </c>
      <c r="X43" s="423"/>
      <c r="Y43" s="423">
        <v>41716</v>
      </c>
      <c r="Z43" s="622"/>
      <c r="AA43" s="569" t="s">
        <v>315</v>
      </c>
      <c r="AB43" s="551">
        <f>Z43</f>
        <v>0</v>
      </c>
      <c r="AC43" s="551">
        <f>IF(G43=0,IF(H43=0,0,G43*$AB43/($G43+1.1*$H43)),G43*$AB43/($G43+1.1*$H43))</f>
        <v>0</v>
      </c>
      <c r="AD43" s="551">
        <f>IF(G43=0,IF(H43=0,0,1.1*H43*$AB43/($G43+1.1*$H43)),1.1*H43*$AB43/($G43+1.1*$H43))</f>
        <v>0</v>
      </c>
      <c r="AE43" s="410"/>
      <c r="AF43" s="589"/>
      <c r="AG43" s="606" t="s">
        <v>680</v>
      </c>
      <c r="AH43" s="423">
        <v>41723</v>
      </c>
      <c r="AI43" s="554"/>
      <c r="AJ43" s="581"/>
      <c r="AK43" s="581"/>
      <c r="AL43" s="334"/>
      <c r="AM43" s="572" t="str">
        <f>IF(AB43=0,"",AI43/AB43)</f>
        <v/>
      </c>
      <c r="AN43" s="572">
        <v>1</v>
      </c>
      <c r="AO43" s="563"/>
      <c r="AP43" s="563"/>
      <c r="AQ43" s="563"/>
      <c r="AR43" s="414"/>
      <c r="AS43" s="572">
        <f>IF(AB43=0,1,1-AM43)</f>
        <v>1</v>
      </c>
      <c r="AT43" s="572">
        <f>1-AN43</f>
        <v>0</v>
      </c>
      <c r="AU43" s="602" t="s">
        <v>345</v>
      </c>
    </row>
    <row r="44" spans="1:47" x14ac:dyDescent="0.35">
      <c r="A44" s="175" t="s">
        <v>88</v>
      </c>
      <c r="B44" s="590"/>
      <c r="C44" s="590"/>
      <c r="D44" s="590"/>
      <c r="E44" s="579"/>
      <c r="F44" s="35"/>
      <c r="G44" s="567"/>
      <c r="H44" s="567"/>
      <c r="I44" s="35">
        <f>G43*$F44/($G43+1.1*$H43)</f>
        <v>0</v>
      </c>
      <c r="J44" s="35">
        <f>1.1*H43*$F44/($G43+1.1*$H43)</f>
        <v>0</v>
      </c>
      <c r="K44" s="418"/>
      <c r="L44" s="418"/>
      <c r="M44" s="418"/>
      <c r="N44" s="418"/>
      <c r="O44" s="418"/>
      <c r="P44" s="424"/>
      <c r="Q44" s="424"/>
      <c r="R44" s="424"/>
      <c r="S44" s="424"/>
      <c r="T44" s="424"/>
      <c r="U44" s="424"/>
      <c r="V44" s="424"/>
      <c r="W44" s="424">
        <v>41852</v>
      </c>
      <c r="X44" s="424"/>
      <c r="Y44" s="424"/>
      <c r="Z44" s="561"/>
      <c r="AA44" s="570"/>
      <c r="AB44" s="552"/>
      <c r="AC44" s="552"/>
      <c r="AD44" s="552"/>
      <c r="AE44" s="411"/>
      <c r="AF44" s="590"/>
      <c r="AG44" s="607"/>
      <c r="AH44" s="424"/>
      <c r="AI44" s="555"/>
      <c r="AJ44" s="581"/>
      <c r="AK44" s="581"/>
      <c r="AL44" s="335"/>
      <c r="AM44" s="573"/>
      <c r="AN44" s="573"/>
      <c r="AO44" s="564"/>
      <c r="AP44" s="564"/>
      <c r="AQ44" s="564"/>
      <c r="AR44" s="415"/>
      <c r="AS44" s="573"/>
      <c r="AT44" s="573"/>
      <c r="AU44" s="603"/>
    </row>
    <row r="45" spans="1:47" x14ac:dyDescent="0.35">
      <c r="A45" s="176" t="s">
        <v>89</v>
      </c>
      <c r="B45" s="592"/>
      <c r="C45" s="592"/>
      <c r="D45" s="592"/>
      <c r="E45" s="580"/>
      <c r="F45" s="36"/>
      <c r="G45" s="568"/>
      <c r="H45" s="568"/>
      <c r="I45" s="36">
        <f>G43*$F45/($G43+1.1*$H43)</f>
        <v>0</v>
      </c>
      <c r="J45" s="36">
        <f>1.1*H43*$F45/($G43+1.1*$H43)</f>
        <v>0</v>
      </c>
      <c r="K45" s="420"/>
      <c r="L45" s="420"/>
      <c r="M45" s="420"/>
      <c r="N45" s="420"/>
      <c r="O45" s="420"/>
      <c r="P45" s="425"/>
      <c r="Q45" s="425"/>
      <c r="R45" s="425"/>
      <c r="S45" s="425"/>
      <c r="T45" s="425"/>
      <c r="U45" s="425"/>
      <c r="V45" s="425"/>
      <c r="W45" s="425">
        <v>41893</v>
      </c>
      <c r="X45" s="425"/>
      <c r="Y45" s="425">
        <v>41913</v>
      </c>
      <c r="Z45" s="562"/>
      <c r="AA45" s="571"/>
      <c r="AB45" s="553"/>
      <c r="AC45" s="553"/>
      <c r="AD45" s="553"/>
      <c r="AE45" s="412"/>
      <c r="AF45" s="592"/>
      <c r="AG45" s="609"/>
      <c r="AH45" s="425">
        <v>42003</v>
      </c>
      <c r="AI45" s="556"/>
      <c r="AJ45" s="581"/>
      <c r="AK45" s="581"/>
      <c r="AL45" s="336"/>
      <c r="AM45" s="574"/>
      <c r="AN45" s="574"/>
      <c r="AO45" s="565"/>
      <c r="AP45" s="565"/>
      <c r="AQ45" s="565"/>
      <c r="AR45" s="416"/>
      <c r="AS45" s="574"/>
      <c r="AT45" s="574"/>
      <c r="AU45" s="605"/>
    </row>
    <row r="46" spans="1:47" x14ac:dyDescent="0.35">
      <c r="A46" s="174" t="s">
        <v>87</v>
      </c>
      <c r="B46" s="589">
        <v>11</v>
      </c>
      <c r="C46" s="597" t="s">
        <v>470</v>
      </c>
      <c r="D46" s="594" t="s">
        <v>391</v>
      </c>
      <c r="E46" s="578" t="s">
        <v>2</v>
      </c>
      <c r="F46" s="34"/>
      <c r="G46" s="566">
        <v>0.66</v>
      </c>
      <c r="H46" s="566">
        <f>1-G46</f>
        <v>0.33999999999999997</v>
      </c>
      <c r="I46" s="34">
        <f>G46*$F46/($G46+1.1*$H46)</f>
        <v>0</v>
      </c>
      <c r="J46" s="34">
        <f>1.1*H46*$F46/($G46+1.1*$H46)</f>
        <v>0</v>
      </c>
      <c r="K46" s="417" t="s">
        <v>113</v>
      </c>
      <c r="L46" s="417" t="s">
        <v>62</v>
      </c>
      <c r="M46" s="417" t="s">
        <v>289</v>
      </c>
      <c r="N46" s="417" t="s">
        <v>125</v>
      </c>
      <c r="O46" s="421" t="s">
        <v>77</v>
      </c>
      <c r="P46" s="423"/>
      <c r="Q46" s="423"/>
      <c r="R46" s="423"/>
      <c r="S46" s="423"/>
      <c r="T46" s="423"/>
      <c r="U46" s="423"/>
      <c r="V46" s="423"/>
      <c r="W46" s="423">
        <v>42047</v>
      </c>
      <c r="X46" s="423"/>
      <c r="Y46" s="423">
        <v>42061</v>
      </c>
      <c r="Z46" s="560"/>
      <c r="AA46" s="569"/>
      <c r="AB46" s="551">
        <f>Z46</f>
        <v>0</v>
      </c>
      <c r="AC46" s="551">
        <f>IF(G46=0,IF(H46=0,0,G46*$AB46/($G46+1.1*$H46)),G46*$AB46/($G46+1.1*$H46))</f>
        <v>0</v>
      </c>
      <c r="AD46" s="551">
        <f>IF(G46=0,IF(H46=0,0,1.1*H46*$AB46/($G46+1.1*$H46)),1.1*H46*$AB46/($G46+1.1*$H46))</f>
        <v>0</v>
      </c>
      <c r="AE46" s="410"/>
      <c r="AF46" s="589"/>
      <c r="AG46" s="589"/>
      <c r="AH46" s="423">
        <v>42089</v>
      </c>
      <c r="AI46" s="621"/>
      <c r="AJ46" s="581"/>
      <c r="AK46" s="581"/>
      <c r="AL46" s="334"/>
      <c r="AM46" s="572" t="str">
        <f>IF(AB46=0,"",AI46/AB46)</f>
        <v/>
      </c>
      <c r="AN46" s="572"/>
      <c r="AO46" s="563"/>
      <c r="AP46" s="563"/>
      <c r="AQ46" s="563"/>
      <c r="AR46" s="414"/>
      <c r="AS46" s="572">
        <f>IF(AB46=0,1,1-AM46)</f>
        <v>1</v>
      </c>
      <c r="AT46" s="572">
        <f>1-AN46</f>
        <v>1</v>
      </c>
      <c r="AU46" s="602"/>
    </row>
    <row r="47" spans="1:47" x14ac:dyDescent="0.35">
      <c r="A47" s="175" t="s">
        <v>88</v>
      </c>
      <c r="B47" s="590"/>
      <c r="C47" s="590"/>
      <c r="D47" s="590"/>
      <c r="E47" s="579"/>
      <c r="F47" s="35"/>
      <c r="G47" s="567"/>
      <c r="H47" s="567"/>
      <c r="I47" s="35">
        <f>G46*$F47/($G46+1.1*$H46)</f>
        <v>0</v>
      </c>
      <c r="J47" s="35">
        <f>1.1*H46*$F47/($G46+1.1*$H46)</f>
        <v>0</v>
      </c>
      <c r="K47" s="418"/>
      <c r="L47" s="418"/>
      <c r="M47" s="418"/>
      <c r="N47" s="418"/>
      <c r="O47" s="418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561"/>
      <c r="AA47" s="570"/>
      <c r="AB47" s="552"/>
      <c r="AC47" s="552"/>
      <c r="AD47" s="552"/>
      <c r="AE47" s="411"/>
      <c r="AF47" s="590"/>
      <c r="AG47" s="590"/>
      <c r="AH47" s="424"/>
      <c r="AI47" s="555"/>
      <c r="AJ47" s="581"/>
      <c r="AK47" s="581"/>
      <c r="AL47" s="335"/>
      <c r="AM47" s="573"/>
      <c r="AN47" s="573"/>
      <c r="AO47" s="564"/>
      <c r="AP47" s="564"/>
      <c r="AQ47" s="564"/>
      <c r="AR47" s="415"/>
      <c r="AS47" s="573"/>
      <c r="AT47" s="573"/>
      <c r="AU47" s="603"/>
    </row>
    <row r="48" spans="1:47" x14ac:dyDescent="0.35">
      <c r="A48" s="176" t="s">
        <v>89</v>
      </c>
      <c r="B48" s="592"/>
      <c r="C48" s="592"/>
      <c r="D48" s="592"/>
      <c r="E48" s="580"/>
      <c r="F48" s="36"/>
      <c r="G48" s="568"/>
      <c r="H48" s="568"/>
      <c r="I48" s="36">
        <f>G46*$F48/($G46+1.1*$H46)</f>
        <v>0</v>
      </c>
      <c r="J48" s="36">
        <f>1.1*H46*$F48/($G46+1.1*$H46)</f>
        <v>0</v>
      </c>
      <c r="K48" s="420"/>
      <c r="L48" s="420"/>
      <c r="M48" s="420"/>
      <c r="N48" s="420"/>
      <c r="O48" s="420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562"/>
      <c r="AA48" s="571"/>
      <c r="AB48" s="553"/>
      <c r="AC48" s="553"/>
      <c r="AD48" s="553"/>
      <c r="AE48" s="412"/>
      <c r="AF48" s="592"/>
      <c r="AG48" s="592"/>
      <c r="AH48" s="425"/>
      <c r="AI48" s="556"/>
      <c r="AJ48" s="581"/>
      <c r="AK48" s="581"/>
      <c r="AL48" s="336"/>
      <c r="AM48" s="574"/>
      <c r="AN48" s="574"/>
      <c r="AO48" s="565"/>
      <c r="AP48" s="565"/>
      <c r="AQ48" s="565"/>
      <c r="AR48" s="416"/>
      <c r="AS48" s="574"/>
      <c r="AT48" s="574"/>
      <c r="AU48" s="605"/>
    </row>
    <row r="49" spans="1:47" ht="12.75" customHeight="1" x14ac:dyDescent="0.35">
      <c r="A49" s="174" t="s">
        <v>87</v>
      </c>
      <c r="B49" s="589">
        <v>12</v>
      </c>
      <c r="C49" s="597" t="s">
        <v>668</v>
      </c>
      <c r="D49" s="610" t="s">
        <v>659</v>
      </c>
      <c r="E49" s="578" t="s">
        <v>3</v>
      </c>
      <c r="F49" s="34"/>
      <c r="G49" s="566">
        <v>1</v>
      </c>
      <c r="H49" s="566">
        <f>1-G49</f>
        <v>0</v>
      </c>
      <c r="I49" s="34">
        <f>G49*$F49/($G49+1.1*$H49)</f>
        <v>0</v>
      </c>
      <c r="J49" s="34">
        <f>1.1*H49*$F49/($G49+1.1*$H49)</f>
        <v>0</v>
      </c>
      <c r="K49" s="417" t="s">
        <v>113</v>
      </c>
      <c r="L49" s="417" t="s">
        <v>61</v>
      </c>
      <c r="M49" s="417" t="s">
        <v>653</v>
      </c>
      <c r="N49" s="417" t="s">
        <v>125</v>
      </c>
      <c r="O49" s="421" t="s">
        <v>76</v>
      </c>
      <c r="P49" s="423">
        <v>43419</v>
      </c>
      <c r="Q49" s="423">
        <f>P49+21</f>
        <v>43440</v>
      </c>
      <c r="R49" s="423">
        <v>43343</v>
      </c>
      <c r="S49" s="423">
        <f>P49</f>
        <v>43419</v>
      </c>
      <c r="T49" s="423">
        <v>43550</v>
      </c>
      <c r="U49" s="423">
        <f>T49+51</f>
        <v>43601</v>
      </c>
      <c r="V49" s="423">
        <f>U49</f>
        <v>43601</v>
      </c>
      <c r="W49" s="423">
        <f>V49+29</f>
        <v>43630</v>
      </c>
      <c r="X49" s="423">
        <f>W49+14</f>
        <v>43644</v>
      </c>
      <c r="Y49" s="423">
        <f>X49+14</f>
        <v>43658</v>
      </c>
      <c r="Z49" s="560"/>
      <c r="AA49" s="569"/>
      <c r="AB49" s="551">
        <f>Z49</f>
        <v>0</v>
      </c>
      <c r="AC49" s="551">
        <f>IF(G49=0,IF(H49=0,0,G49*$AB49/($G49+1.1*$H49)),G49*$AB49/($G49+1.1*$H49))</f>
        <v>0</v>
      </c>
      <c r="AD49" s="551">
        <f>IF(G49=0,IF(H49=0,0,1.1*H49*$AB49/($G49+1.1*$H49)),1.1*H49*$AB49/($G49+1.1*$H49))</f>
        <v>0</v>
      </c>
      <c r="AE49" s="410"/>
      <c r="AF49" s="589"/>
      <c r="AG49" s="589"/>
      <c r="AH49" s="423">
        <v>44165</v>
      </c>
      <c r="AI49" s="621"/>
      <c r="AJ49" s="581"/>
      <c r="AK49" s="581"/>
      <c r="AL49" s="334"/>
      <c r="AM49" s="572" t="str">
        <f>IF(AB49=0,"",AI49/AB49)</f>
        <v/>
      </c>
      <c r="AN49" s="572"/>
      <c r="AO49" s="563"/>
      <c r="AP49" s="563"/>
      <c r="AQ49" s="563"/>
      <c r="AR49" s="414"/>
      <c r="AS49" s="572">
        <f>IF(AB49=0,1,1-AM49)</f>
        <v>1</v>
      </c>
      <c r="AT49" s="572">
        <f>1-AN49</f>
        <v>1</v>
      </c>
      <c r="AU49" s="602"/>
    </row>
    <row r="50" spans="1:47" x14ac:dyDescent="0.35">
      <c r="A50" s="175" t="s">
        <v>88</v>
      </c>
      <c r="B50" s="590"/>
      <c r="C50" s="590"/>
      <c r="D50" s="590"/>
      <c r="E50" s="579"/>
      <c r="F50" s="35"/>
      <c r="G50" s="567"/>
      <c r="H50" s="567"/>
      <c r="I50" s="35">
        <f>G49*$F50/($G49+1.1*$H49)</f>
        <v>0</v>
      </c>
      <c r="J50" s="35">
        <f>1.1*H49*$F50/($G49+1.1*$H49)</f>
        <v>0</v>
      </c>
      <c r="K50" s="418"/>
      <c r="L50" s="418"/>
      <c r="M50" s="418"/>
      <c r="N50" s="418"/>
      <c r="O50" s="418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561"/>
      <c r="AA50" s="570"/>
      <c r="AB50" s="552"/>
      <c r="AC50" s="552"/>
      <c r="AD50" s="552"/>
      <c r="AE50" s="411"/>
      <c r="AF50" s="590"/>
      <c r="AG50" s="590"/>
      <c r="AH50" s="424"/>
      <c r="AI50" s="555"/>
      <c r="AJ50" s="581"/>
      <c r="AK50" s="581"/>
      <c r="AL50" s="335"/>
      <c r="AM50" s="573"/>
      <c r="AN50" s="573"/>
      <c r="AO50" s="564"/>
      <c r="AP50" s="564"/>
      <c r="AQ50" s="564"/>
      <c r="AR50" s="415"/>
      <c r="AS50" s="573"/>
      <c r="AT50" s="573"/>
      <c r="AU50" s="603"/>
    </row>
    <row r="51" spans="1:47" x14ac:dyDescent="0.35">
      <c r="A51" s="176" t="s">
        <v>89</v>
      </c>
      <c r="B51" s="592"/>
      <c r="C51" s="592"/>
      <c r="D51" s="592"/>
      <c r="E51" s="580"/>
      <c r="F51" s="36"/>
      <c r="G51" s="568"/>
      <c r="H51" s="568"/>
      <c r="I51" s="36">
        <f>G49*$F51/($G49+1.1*$H49)</f>
        <v>0</v>
      </c>
      <c r="J51" s="36">
        <f>1.1*H49*$F51/($G49+1.1*$H49)</f>
        <v>0</v>
      </c>
      <c r="K51" s="420"/>
      <c r="L51" s="420"/>
      <c r="M51" s="420"/>
      <c r="N51" s="420"/>
      <c r="O51" s="420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562"/>
      <c r="AA51" s="571"/>
      <c r="AB51" s="553"/>
      <c r="AC51" s="553"/>
      <c r="AD51" s="553"/>
      <c r="AE51" s="412"/>
      <c r="AF51" s="592"/>
      <c r="AG51" s="592"/>
      <c r="AH51" s="425"/>
      <c r="AI51" s="556"/>
      <c r="AJ51" s="581"/>
      <c r="AK51" s="581"/>
      <c r="AL51" s="336"/>
      <c r="AM51" s="574"/>
      <c r="AN51" s="574"/>
      <c r="AO51" s="565"/>
      <c r="AP51" s="565"/>
      <c r="AQ51" s="565"/>
      <c r="AR51" s="416"/>
      <c r="AS51" s="574"/>
      <c r="AT51" s="574"/>
      <c r="AU51" s="605"/>
    </row>
    <row r="52" spans="1:47" ht="12.75" hidden="1" customHeight="1" x14ac:dyDescent="0.35">
      <c r="A52" s="174" t="s">
        <v>87</v>
      </c>
      <c r="B52" s="589">
        <v>13</v>
      </c>
      <c r="C52" s="597" t="s">
        <v>671</v>
      </c>
      <c r="D52" s="610" t="s">
        <v>651</v>
      </c>
      <c r="E52" s="578" t="s">
        <v>3</v>
      </c>
      <c r="F52" s="34"/>
      <c r="G52" s="566">
        <v>1</v>
      </c>
      <c r="H52" s="566">
        <f>1-G52</f>
        <v>0</v>
      </c>
      <c r="I52" s="34">
        <f>G52*$F52/($G52+1.1*$H52)</f>
        <v>0</v>
      </c>
      <c r="J52" s="34">
        <f>1.1*H52*$F52/($G52+1.1*$H52)</f>
        <v>0</v>
      </c>
      <c r="K52" s="417" t="s">
        <v>113</v>
      </c>
      <c r="L52" s="417" t="s">
        <v>61</v>
      </c>
      <c r="M52" s="417" t="s">
        <v>653</v>
      </c>
      <c r="N52" s="417" t="s">
        <v>125</v>
      </c>
      <c r="O52" s="421" t="s">
        <v>77</v>
      </c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560"/>
      <c r="AA52" s="569"/>
      <c r="AB52" s="551">
        <f>Z52</f>
        <v>0</v>
      </c>
      <c r="AC52" s="551">
        <f>IF(G52=0,IF(H52=0,0,G52*$AB52/($G52+1.1*$H52)),G52*$AB52/($G52+1.1*$H52))</f>
        <v>0</v>
      </c>
      <c r="AD52" s="551">
        <f>IF(G52=0,IF(H52=0,0,1.1*H52*$AB52/($G52+1.1*$H52)),1.1*H52*$AB52/($G52+1.1*$H52))</f>
        <v>0</v>
      </c>
      <c r="AE52" s="410"/>
      <c r="AF52" s="589"/>
      <c r="AG52" s="589"/>
      <c r="AH52" s="423"/>
      <c r="AI52" s="621"/>
      <c r="AJ52" s="581"/>
      <c r="AK52" s="581"/>
      <c r="AL52" s="334"/>
      <c r="AM52" s="572" t="str">
        <f>IF(AB52=0,"",AI52/AB52)</f>
        <v/>
      </c>
      <c r="AN52" s="572"/>
      <c r="AO52" s="563"/>
      <c r="AP52" s="563"/>
      <c r="AQ52" s="563"/>
      <c r="AR52" s="414"/>
      <c r="AS52" s="572">
        <f>IF(AB52=0,1,1-AM52)</f>
        <v>1</v>
      </c>
      <c r="AT52" s="572">
        <f>1-AN52</f>
        <v>1</v>
      </c>
      <c r="AU52" s="602"/>
    </row>
    <row r="53" spans="1:47" hidden="1" x14ac:dyDescent="0.35">
      <c r="A53" s="175" t="s">
        <v>88</v>
      </c>
      <c r="B53" s="590"/>
      <c r="C53" s="590"/>
      <c r="D53" s="590"/>
      <c r="E53" s="579"/>
      <c r="F53" s="35"/>
      <c r="G53" s="567"/>
      <c r="H53" s="567"/>
      <c r="I53" s="35">
        <f>G52*$F53/($G52+1.1*$H52)</f>
        <v>0</v>
      </c>
      <c r="J53" s="35">
        <f>1.1*H52*$F53/($G52+1.1*$H52)</f>
        <v>0</v>
      </c>
      <c r="K53" s="418"/>
      <c r="L53" s="418"/>
      <c r="M53" s="418"/>
      <c r="N53" s="418"/>
      <c r="O53" s="418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561"/>
      <c r="AA53" s="570"/>
      <c r="AB53" s="552"/>
      <c r="AC53" s="552"/>
      <c r="AD53" s="552"/>
      <c r="AE53" s="411"/>
      <c r="AF53" s="590"/>
      <c r="AG53" s="590"/>
      <c r="AH53" s="424"/>
      <c r="AI53" s="555"/>
      <c r="AJ53" s="581"/>
      <c r="AK53" s="581"/>
      <c r="AL53" s="335"/>
      <c r="AM53" s="573"/>
      <c r="AN53" s="573"/>
      <c r="AO53" s="564"/>
      <c r="AP53" s="564"/>
      <c r="AQ53" s="564"/>
      <c r="AR53" s="415"/>
      <c r="AS53" s="573"/>
      <c r="AT53" s="573"/>
      <c r="AU53" s="603"/>
    </row>
    <row r="54" spans="1:47" hidden="1" x14ac:dyDescent="0.35">
      <c r="A54" s="176" t="s">
        <v>89</v>
      </c>
      <c r="B54" s="592"/>
      <c r="C54" s="592"/>
      <c r="D54" s="592"/>
      <c r="E54" s="580"/>
      <c r="F54" s="36"/>
      <c r="G54" s="568"/>
      <c r="H54" s="568"/>
      <c r="I54" s="36">
        <f>G52*$F54/($G52+1.1*$H52)</f>
        <v>0</v>
      </c>
      <c r="J54" s="36">
        <f>1.1*H52*$F54/($G52+1.1*$H52)</f>
        <v>0</v>
      </c>
      <c r="K54" s="420"/>
      <c r="L54" s="420"/>
      <c r="M54" s="420"/>
      <c r="N54" s="420"/>
      <c r="O54" s="420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562"/>
      <c r="AA54" s="571"/>
      <c r="AB54" s="553"/>
      <c r="AC54" s="553"/>
      <c r="AD54" s="553"/>
      <c r="AE54" s="412"/>
      <c r="AF54" s="592"/>
      <c r="AG54" s="592"/>
      <c r="AH54" s="425"/>
      <c r="AI54" s="556"/>
      <c r="AJ54" s="581"/>
      <c r="AK54" s="581"/>
      <c r="AL54" s="336"/>
      <c r="AM54" s="574"/>
      <c r="AN54" s="574"/>
      <c r="AO54" s="565"/>
      <c r="AP54" s="565"/>
      <c r="AQ54" s="565"/>
      <c r="AR54" s="416"/>
      <c r="AS54" s="574"/>
      <c r="AT54" s="574"/>
      <c r="AU54" s="605"/>
    </row>
    <row r="55" spans="1:47" ht="12.75" hidden="1" customHeight="1" x14ac:dyDescent="0.35">
      <c r="A55" s="174" t="s">
        <v>87</v>
      </c>
      <c r="B55" s="589">
        <v>14</v>
      </c>
      <c r="C55" s="597" t="s">
        <v>669</v>
      </c>
      <c r="D55" s="610" t="s">
        <v>660</v>
      </c>
      <c r="E55" s="578" t="s">
        <v>3</v>
      </c>
      <c r="F55" s="34"/>
      <c r="G55" s="566">
        <v>1</v>
      </c>
      <c r="H55" s="566">
        <f>1-G55</f>
        <v>0</v>
      </c>
      <c r="I55" s="34">
        <f>G55*$F55/($G55+1.1*$H55)</f>
        <v>0</v>
      </c>
      <c r="J55" s="34">
        <f>1.1*H55*$F55/($G55+1.1*$H55)</f>
        <v>0</v>
      </c>
      <c r="K55" s="417" t="s">
        <v>113</v>
      </c>
      <c r="L55" s="417" t="s">
        <v>61</v>
      </c>
      <c r="M55" s="417" t="s">
        <v>653</v>
      </c>
      <c r="N55" s="417" t="s">
        <v>125</v>
      </c>
      <c r="O55" s="421" t="s">
        <v>76</v>
      </c>
      <c r="P55" s="423">
        <v>43419</v>
      </c>
      <c r="Q55" s="423">
        <f>P55+21</f>
        <v>43440</v>
      </c>
      <c r="R55" s="423">
        <v>43343</v>
      </c>
      <c r="S55" s="423">
        <f>P55</f>
        <v>43419</v>
      </c>
      <c r="T55" s="423">
        <v>43556</v>
      </c>
      <c r="U55" s="423">
        <v>43601</v>
      </c>
      <c r="V55" s="423">
        <f>U55</f>
        <v>43601</v>
      </c>
      <c r="W55" s="423">
        <v>43634</v>
      </c>
      <c r="X55" s="423">
        <f>W55+15</f>
        <v>43649</v>
      </c>
      <c r="Y55" s="423">
        <f>W55+30</f>
        <v>43664</v>
      </c>
      <c r="Z55" s="560"/>
      <c r="AA55" s="569"/>
      <c r="AB55" s="551">
        <f>Z55</f>
        <v>0</v>
      </c>
      <c r="AC55" s="551">
        <f>IF(G55=0,IF(H55=0,0,G55*$AB55/($G55+1.1*$H55)),G55*$AB55/($G55+1.1*$H55))</f>
        <v>0</v>
      </c>
      <c r="AD55" s="551">
        <f>IF(G55=0,IF(H55=0,0,1.1*H55*$AB55/($G55+1.1*$H55)),1.1*H55*$AB55/($G55+1.1*$H55))</f>
        <v>0</v>
      </c>
      <c r="AE55" s="410"/>
      <c r="AF55" s="589"/>
      <c r="AG55" s="589"/>
      <c r="AH55" s="423">
        <v>44165</v>
      </c>
      <c r="AI55" s="621"/>
      <c r="AJ55" s="581"/>
      <c r="AK55" s="581"/>
      <c r="AL55" s="334"/>
      <c r="AM55" s="572" t="str">
        <f>IF(AB55=0,"",AI55/AB55)</f>
        <v/>
      </c>
      <c r="AN55" s="572"/>
      <c r="AO55" s="563"/>
      <c r="AP55" s="563"/>
      <c r="AQ55" s="563"/>
      <c r="AR55" s="414"/>
      <c r="AS55" s="572">
        <f>IF(AB55=0,1,1-AM55)</f>
        <v>1</v>
      </c>
      <c r="AT55" s="572">
        <f>1-AN55</f>
        <v>1</v>
      </c>
      <c r="AU55" s="602"/>
    </row>
    <row r="56" spans="1:47" hidden="1" x14ac:dyDescent="0.35">
      <c r="A56" s="175" t="s">
        <v>88</v>
      </c>
      <c r="B56" s="590"/>
      <c r="C56" s="590"/>
      <c r="D56" s="590"/>
      <c r="E56" s="579"/>
      <c r="F56" s="35"/>
      <c r="G56" s="567"/>
      <c r="H56" s="567"/>
      <c r="I56" s="35">
        <f>G55*$F56/($G55+1.1*$H55)</f>
        <v>0</v>
      </c>
      <c r="J56" s="35">
        <f>1.1*H55*$F56/($G55+1.1*$H55)</f>
        <v>0</v>
      </c>
      <c r="K56" s="418"/>
      <c r="L56" s="418"/>
      <c r="M56" s="418"/>
      <c r="N56" s="418"/>
      <c r="O56" s="418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561"/>
      <c r="AA56" s="570"/>
      <c r="AB56" s="552"/>
      <c r="AC56" s="552"/>
      <c r="AD56" s="552"/>
      <c r="AE56" s="411"/>
      <c r="AF56" s="590"/>
      <c r="AG56" s="590"/>
      <c r="AH56" s="424"/>
      <c r="AI56" s="555"/>
      <c r="AJ56" s="581"/>
      <c r="AK56" s="581"/>
      <c r="AL56" s="335"/>
      <c r="AM56" s="573"/>
      <c r="AN56" s="573"/>
      <c r="AO56" s="564"/>
      <c r="AP56" s="564"/>
      <c r="AQ56" s="564"/>
      <c r="AR56" s="415"/>
      <c r="AS56" s="573"/>
      <c r="AT56" s="573"/>
      <c r="AU56" s="603"/>
    </row>
    <row r="57" spans="1:47" hidden="1" x14ac:dyDescent="0.35">
      <c r="A57" s="176" t="s">
        <v>89</v>
      </c>
      <c r="B57" s="592"/>
      <c r="C57" s="592"/>
      <c r="D57" s="592"/>
      <c r="E57" s="580"/>
      <c r="F57" s="36"/>
      <c r="G57" s="568"/>
      <c r="H57" s="568"/>
      <c r="I57" s="36">
        <f>G55*$F57/($G55+1.1*$H55)</f>
        <v>0</v>
      </c>
      <c r="J57" s="36">
        <f>1.1*H55*$F57/($G55+1.1*$H55)</f>
        <v>0</v>
      </c>
      <c r="K57" s="420"/>
      <c r="L57" s="420"/>
      <c r="M57" s="420"/>
      <c r="N57" s="420"/>
      <c r="O57" s="420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562"/>
      <c r="AA57" s="571"/>
      <c r="AB57" s="553"/>
      <c r="AC57" s="553"/>
      <c r="AD57" s="553"/>
      <c r="AE57" s="412"/>
      <c r="AF57" s="592"/>
      <c r="AG57" s="592"/>
      <c r="AH57" s="425"/>
      <c r="AI57" s="556"/>
      <c r="AJ57" s="581"/>
      <c r="AK57" s="581"/>
      <c r="AL57" s="336"/>
      <c r="AM57" s="574"/>
      <c r="AN57" s="574"/>
      <c r="AO57" s="565"/>
      <c r="AP57" s="565"/>
      <c r="AQ57" s="565"/>
      <c r="AR57" s="416"/>
      <c r="AS57" s="574"/>
      <c r="AT57" s="574"/>
      <c r="AU57" s="605"/>
    </row>
    <row r="58" spans="1:47" ht="12.75" hidden="1" customHeight="1" x14ac:dyDescent="0.35">
      <c r="A58" s="174" t="s">
        <v>87</v>
      </c>
      <c r="B58" s="589">
        <v>15</v>
      </c>
      <c r="C58" s="597" t="s">
        <v>672</v>
      </c>
      <c r="D58" s="610" t="s">
        <v>652</v>
      </c>
      <c r="E58" s="578" t="s">
        <v>3</v>
      </c>
      <c r="F58" s="34"/>
      <c r="G58" s="566">
        <v>1</v>
      </c>
      <c r="H58" s="566">
        <f>1-G58</f>
        <v>0</v>
      </c>
      <c r="I58" s="34">
        <f>G58*$F58/($G58+1.1*$H58)</f>
        <v>0</v>
      </c>
      <c r="J58" s="34">
        <f>1.1*H58*$F58/($G58+1.1*$H58)</f>
        <v>0</v>
      </c>
      <c r="K58" s="417" t="s">
        <v>113</v>
      </c>
      <c r="L58" s="417" t="s">
        <v>61</v>
      </c>
      <c r="M58" s="417" t="s">
        <v>653</v>
      </c>
      <c r="N58" s="417" t="s">
        <v>125</v>
      </c>
      <c r="O58" s="421" t="s">
        <v>77</v>
      </c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560"/>
      <c r="AA58" s="569"/>
      <c r="AB58" s="551">
        <f>Z58</f>
        <v>0</v>
      </c>
      <c r="AC58" s="551">
        <f>IF(G58=0,IF(H58=0,0,G58*$AB58/($G58+1.1*$H58)),G58*$AB58/($G58+1.1*$H58))</f>
        <v>0</v>
      </c>
      <c r="AD58" s="551">
        <f>IF(G58=0,IF(H58=0,0,1.1*H58*$AB58/($G58+1.1*$H58)),1.1*H58*$AB58/($G58+1.1*$H58))</f>
        <v>0</v>
      </c>
      <c r="AE58" s="410"/>
      <c r="AF58" s="589"/>
      <c r="AG58" s="589"/>
      <c r="AH58" s="423"/>
      <c r="AI58" s="621"/>
      <c r="AJ58" s="581"/>
      <c r="AK58" s="581"/>
      <c r="AL58" s="334"/>
      <c r="AM58" s="572" t="str">
        <f>IF(AB58=0,"",AI58/AB58)</f>
        <v/>
      </c>
      <c r="AN58" s="572"/>
      <c r="AO58" s="563"/>
      <c r="AP58" s="563"/>
      <c r="AQ58" s="563"/>
      <c r="AR58" s="414"/>
      <c r="AS58" s="572">
        <f>IF(AB58=0,1,1-AM58)</f>
        <v>1</v>
      </c>
      <c r="AT58" s="572">
        <f>1-AN58</f>
        <v>1</v>
      </c>
      <c r="AU58" s="602"/>
    </row>
    <row r="59" spans="1:47" hidden="1" x14ac:dyDescent="0.35">
      <c r="A59" s="175" t="s">
        <v>88</v>
      </c>
      <c r="B59" s="590"/>
      <c r="C59" s="590"/>
      <c r="D59" s="590"/>
      <c r="E59" s="579"/>
      <c r="F59" s="35"/>
      <c r="G59" s="567"/>
      <c r="H59" s="567"/>
      <c r="I59" s="35">
        <f>G58*$F59/($G58+1.1*$H58)</f>
        <v>0</v>
      </c>
      <c r="J59" s="35">
        <f>1.1*H58*$F59/($G58+1.1*$H58)</f>
        <v>0</v>
      </c>
      <c r="K59" s="418"/>
      <c r="L59" s="418"/>
      <c r="M59" s="418"/>
      <c r="N59" s="418"/>
      <c r="O59" s="418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561"/>
      <c r="AA59" s="570"/>
      <c r="AB59" s="552"/>
      <c r="AC59" s="552"/>
      <c r="AD59" s="552"/>
      <c r="AE59" s="411"/>
      <c r="AF59" s="590"/>
      <c r="AG59" s="590"/>
      <c r="AH59" s="424"/>
      <c r="AI59" s="555"/>
      <c r="AJ59" s="581"/>
      <c r="AK59" s="581"/>
      <c r="AL59" s="335"/>
      <c r="AM59" s="573"/>
      <c r="AN59" s="573"/>
      <c r="AO59" s="564"/>
      <c r="AP59" s="564"/>
      <c r="AQ59" s="564"/>
      <c r="AR59" s="415"/>
      <c r="AS59" s="573"/>
      <c r="AT59" s="573"/>
      <c r="AU59" s="603"/>
    </row>
    <row r="60" spans="1:47" hidden="1" x14ac:dyDescent="0.35">
      <c r="A60" s="176" t="s">
        <v>89</v>
      </c>
      <c r="B60" s="592"/>
      <c r="C60" s="592"/>
      <c r="D60" s="592"/>
      <c r="E60" s="580"/>
      <c r="F60" s="36"/>
      <c r="G60" s="568"/>
      <c r="H60" s="568"/>
      <c r="I60" s="36">
        <f>G58*$F60/($G58+1.1*$H58)</f>
        <v>0</v>
      </c>
      <c r="J60" s="36">
        <f>1.1*H58*$F60/($G58+1.1*$H58)</f>
        <v>0</v>
      </c>
      <c r="K60" s="420"/>
      <c r="L60" s="420"/>
      <c r="M60" s="420"/>
      <c r="N60" s="420"/>
      <c r="O60" s="420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562"/>
      <c r="AA60" s="571"/>
      <c r="AB60" s="553"/>
      <c r="AC60" s="553"/>
      <c r="AD60" s="553"/>
      <c r="AE60" s="412"/>
      <c r="AF60" s="592"/>
      <c r="AG60" s="592"/>
      <c r="AH60" s="425"/>
      <c r="AI60" s="556"/>
      <c r="AJ60" s="581"/>
      <c r="AK60" s="581"/>
      <c r="AL60" s="336"/>
      <c r="AM60" s="574"/>
      <c r="AN60" s="574"/>
      <c r="AO60" s="565"/>
      <c r="AP60" s="565"/>
      <c r="AQ60" s="565"/>
      <c r="AR60" s="416"/>
      <c r="AS60" s="574"/>
      <c r="AT60" s="574"/>
      <c r="AU60" s="605"/>
    </row>
    <row r="61" spans="1:47" ht="12.75" customHeight="1" x14ac:dyDescent="0.35">
      <c r="A61" s="174" t="s">
        <v>87</v>
      </c>
      <c r="B61" s="589">
        <v>16</v>
      </c>
      <c r="C61" s="597" t="s">
        <v>670</v>
      </c>
      <c r="D61" s="610" t="s">
        <v>686</v>
      </c>
      <c r="E61" s="578" t="s">
        <v>3</v>
      </c>
      <c r="F61" s="34"/>
      <c r="G61" s="566">
        <v>1</v>
      </c>
      <c r="H61" s="566">
        <f>1-G61</f>
        <v>0</v>
      </c>
      <c r="I61" s="34">
        <f>G61*$F61/($G61+1.1*$H61)</f>
        <v>0</v>
      </c>
      <c r="J61" s="34">
        <f>1.1*H61*$F61/($G61+1.1*$H61)</f>
        <v>0</v>
      </c>
      <c r="K61" s="417" t="s">
        <v>113</v>
      </c>
      <c r="L61" s="417" t="s">
        <v>61</v>
      </c>
      <c r="M61" s="417" t="s">
        <v>653</v>
      </c>
      <c r="N61" s="417" t="s">
        <v>125</v>
      </c>
      <c r="O61" s="421" t="s">
        <v>76</v>
      </c>
      <c r="P61" s="423">
        <v>43419</v>
      </c>
      <c r="Q61" s="423">
        <v>43654</v>
      </c>
      <c r="R61" s="423"/>
      <c r="S61" s="423">
        <f>P61</f>
        <v>43419</v>
      </c>
      <c r="T61" s="423">
        <v>43671</v>
      </c>
      <c r="U61" s="423">
        <f>T61+34</f>
        <v>43705</v>
      </c>
      <c r="V61" s="423">
        <f>U61</f>
        <v>43705</v>
      </c>
      <c r="W61" s="423">
        <f>V61+8</f>
        <v>43713</v>
      </c>
      <c r="X61" s="423">
        <f>W61+7</f>
        <v>43720</v>
      </c>
      <c r="Y61" s="423">
        <f>X61+21</f>
        <v>43741</v>
      </c>
      <c r="Z61" s="560"/>
      <c r="AA61" s="569"/>
      <c r="AB61" s="551">
        <f>Z61</f>
        <v>0</v>
      </c>
      <c r="AC61" s="551">
        <f>IF(G61=0,IF(H61=0,0,G61*$AB61/($G61+1.1*$H61)),G61*$AB61/($G61+1.1*$H61))</f>
        <v>0</v>
      </c>
      <c r="AD61" s="551">
        <f>IF(G61=0,IF(H61=0,0,1.1*H61*$AB61/($G61+1.1*$H61)),1.1*H61*$AB61/($G61+1.1*$H61))</f>
        <v>0</v>
      </c>
      <c r="AE61" s="410"/>
      <c r="AF61" s="589"/>
      <c r="AG61" s="589"/>
      <c r="AH61" s="423">
        <v>44165</v>
      </c>
      <c r="AI61" s="621"/>
      <c r="AJ61" s="581"/>
      <c r="AK61" s="581"/>
      <c r="AL61" s="334"/>
      <c r="AM61" s="572" t="str">
        <f>IF(AB61=0,"",AI61/AB61)</f>
        <v/>
      </c>
      <c r="AN61" s="572"/>
      <c r="AO61" s="563"/>
      <c r="AP61" s="563"/>
      <c r="AQ61" s="563"/>
      <c r="AR61" s="414"/>
      <c r="AS61" s="572">
        <f>IF(AB61=0,1,1-AM61)</f>
        <v>1</v>
      </c>
      <c r="AT61" s="572">
        <f>1-AN61</f>
        <v>1</v>
      </c>
      <c r="AU61" s="602"/>
    </row>
    <row r="62" spans="1:47" x14ac:dyDescent="0.35">
      <c r="A62" s="175" t="s">
        <v>88</v>
      </c>
      <c r="B62" s="590"/>
      <c r="C62" s="590"/>
      <c r="D62" s="590"/>
      <c r="E62" s="579"/>
      <c r="F62" s="35"/>
      <c r="G62" s="567"/>
      <c r="H62" s="567"/>
      <c r="I62" s="35">
        <f>G61*$F62/($G61+1.1*$H61)</f>
        <v>0</v>
      </c>
      <c r="J62" s="35">
        <f>1.1*H61*$F62/($G61+1.1*$H61)</f>
        <v>0</v>
      </c>
      <c r="K62" s="418"/>
      <c r="L62" s="418"/>
      <c r="M62" s="418"/>
      <c r="N62" s="418"/>
      <c r="O62" s="418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561"/>
      <c r="AA62" s="570"/>
      <c r="AB62" s="552"/>
      <c r="AC62" s="552"/>
      <c r="AD62" s="552"/>
      <c r="AE62" s="411"/>
      <c r="AF62" s="590"/>
      <c r="AG62" s="590"/>
      <c r="AH62" s="424"/>
      <c r="AI62" s="555"/>
      <c r="AJ62" s="581"/>
      <c r="AK62" s="581"/>
      <c r="AL62" s="335"/>
      <c r="AM62" s="573"/>
      <c r="AN62" s="573"/>
      <c r="AO62" s="564"/>
      <c r="AP62" s="564"/>
      <c r="AQ62" s="564"/>
      <c r="AR62" s="415"/>
      <c r="AS62" s="573"/>
      <c r="AT62" s="573"/>
      <c r="AU62" s="603"/>
    </row>
    <row r="63" spans="1:47" x14ac:dyDescent="0.35">
      <c r="A63" s="176" t="s">
        <v>89</v>
      </c>
      <c r="B63" s="592"/>
      <c r="C63" s="592"/>
      <c r="D63" s="592"/>
      <c r="E63" s="580"/>
      <c r="F63" s="36"/>
      <c r="G63" s="568"/>
      <c r="H63" s="568"/>
      <c r="I63" s="36">
        <f>G61*$F63/($G61+1.1*$H61)</f>
        <v>0</v>
      </c>
      <c r="J63" s="36">
        <f>1.1*H61*$F63/($G61+1.1*$H61)</f>
        <v>0</v>
      </c>
      <c r="K63" s="420"/>
      <c r="L63" s="420"/>
      <c r="M63" s="420"/>
      <c r="N63" s="420"/>
      <c r="O63" s="420"/>
      <c r="P63" s="425">
        <v>43510</v>
      </c>
      <c r="Q63" s="425"/>
      <c r="R63" s="425">
        <v>43451</v>
      </c>
      <c r="S63" s="425"/>
      <c r="T63" s="425"/>
      <c r="U63" s="425"/>
      <c r="V63" s="425"/>
      <c r="W63" s="425"/>
      <c r="X63" s="425"/>
      <c r="Y63" s="425"/>
      <c r="Z63" s="562"/>
      <c r="AA63" s="571"/>
      <c r="AB63" s="553"/>
      <c r="AC63" s="553"/>
      <c r="AD63" s="553"/>
      <c r="AE63" s="412"/>
      <c r="AF63" s="592"/>
      <c r="AG63" s="592"/>
      <c r="AH63" s="425"/>
      <c r="AI63" s="556"/>
      <c r="AJ63" s="581"/>
      <c r="AK63" s="581"/>
      <c r="AL63" s="336"/>
      <c r="AM63" s="574"/>
      <c r="AN63" s="574"/>
      <c r="AO63" s="565"/>
      <c r="AP63" s="565"/>
      <c r="AQ63" s="565"/>
      <c r="AR63" s="416"/>
      <c r="AS63" s="574"/>
      <c r="AT63" s="574"/>
      <c r="AU63" s="605"/>
    </row>
    <row r="65" spans="21:25" x14ac:dyDescent="0.35">
      <c r="U65" s="396"/>
      <c r="V65" s="396"/>
      <c r="W65" s="396"/>
      <c r="X65" s="396"/>
      <c r="Y65" s="396"/>
    </row>
    <row r="66" spans="21:25" x14ac:dyDescent="0.35">
      <c r="U66" s="396"/>
      <c r="V66" s="396"/>
      <c r="W66" s="396"/>
      <c r="X66" s="396"/>
      <c r="Y66" s="396"/>
    </row>
    <row r="89" spans="11:11" x14ac:dyDescent="0.35">
      <c r="K89" s="143">
        <f>K85+K86</f>
        <v>0</v>
      </c>
    </row>
  </sheetData>
  <mergeCells count="436">
    <mergeCell ref="AO61:AO63"/>
    <mergeCell ref="AP61:AP63"/>
    <mergeCell ref="AQ61:AQ63"/>
    <mergeCell ref="AS61:AS63"/>
    <mergeCell ref="AT61:AT63"/>
    <mergeCell ref="AU61:AU63"/>
    <mergeCell ref="AO58:AO60"/>
    <mergeCell ref="AP58:AP60"/>
    <mergeCell ref="AQ58:AQ60"/>
    <mergeCell ref="AS58:AS60"/>
    <mergeCell ref="AT58:AT60"/>
    <mergeCell ref="AU58:AU60"/>
    <mergeCell ref="B61:B63"/>
    <mergeCell ref="C61:C63"/>
    <mergeCell ref="D61:D63"/>
    <mergeCell ref="E61:E63"/>
    <mergeCell ref="G61:G63"/>
    <mergeCell ref="H61:H63"/>
    <mergeCell ref="Z61:Z63"/>
    <mergeCell ref="AA61:AA63"/>
    <mergeCell ref="AB61:AB63"/>
    <mergeCell ref="AC61:AC63"/>
    <mergeCell ref="AD61:AD63"/>
    <mergeCell ref="AF61:AF63"/>
    <mergeCell ref="AG61:AG63"/>
    <mergeCell ref="AI61:AI63"/>
    <mergeCell ref="AJ61:AJ63"/>
    <mergeCell ref="AK61:AK63"/>
    <mergeCell ref="AM61:AM63"/>
    <mergeCell ref="AN61:AN63"/>
    <mergeCell ref="AO55:AO57"/>
    <mergeCell ref="AP55:AP57"/>
    <mergeCell ref="AQ55:AQ57"/>
    <mergeCell ref="AS55:AS57"/>
    <mergeCell ref="AT55:AT57"/>
    <mergeCell ref="AU55:AU57"/>
    <mergeCell ref="B58:B60"/>
    <mergeCell ref="C58:C60"/>
    <mergeCell ref="D58:D60"/>
    <mergeCell ref="E58:E60"/>
    <mergeCell ref="G58:G60"/>
    <mergeCell ref="H58:H60"/>
    <mergeCell ref="Z58:Z60"/>
    <mergeCell ref="AA58:AA60"/>
    <mergeCell ref="AB58:AB60"/>
    <mergeCell ref="AC58:AC60"/>
    <mergeCell ref="AD58:AD60"/>
    <mergeCell ref="AF58:AF60"/>
    <mergeCell ref="AG58:AG60"/>
    <mergeCell ref="AI58:AI60"/>
    <mergeCell ref="AJ58:AJ60"/>
    <mergeCell ref="AK58:AK60"/>
    <mergeCell ref="AM58:AM60"/>
    <mergeCell ref="AN58:AN60"/>
    <mergeCell ref="AO52:AO54"/>
    <mergeCell ref="AP52:AP54"/>
    <mergeCell ref="AQ52:AQ54"/>
    <mergeCell ref="AS52:AS54"/>
    <mergeCell ref="AT52:AT54"/>
    <mergeCell ref="AU52:AU54"/>
    <mergeCell ref="B55:B57"/>
    <mergeCell ref="C55:C57"/>
    <mergeCell ref="D55:D57"/>
    <mergeCell ref="E55:E57"/>
    <mergeCell ref="G55:G57"/>
    <mergeCell ref="H55:H57"/>
    <mergeCell ref="Z55:Z57"/>
    <mergeCell ref="AA55:AA57"/>
    <mergeCell ref="AB55:AB57"/>
    <mergeCell ref="AC55:AC57"/>
    <mergeCell ref="AD55:AD57"/>
    <mergeCell ref="AF55:AF57"/>
    <mergeCell ref="AG55:AG57"/>
    <mergeCell ref="AI55:AI57"/>
    <mergeCell ref="AJ55:AJ57"/>
    <mergeCell ref="AK55:AK57"/>
    <mergeCell ref="AM55:AM57"/>
    <mergeCell ref="AN55:AN57"/>
    <mergeCell ref="AO49:AO51"/>
    <mergeCell ref="AP49:AP51"/>
    <mergeCell ref="AQ49:AQ51"/>
    <mergeCell ref="AS49:AS51"/>
    <mergeCell ref="AT49:AT51"/>
    <mergeCell ref="AU49:AU51"/>
    <mergeCell ref="B52:B54"/>
    <mergeCell ref="C52:C54"/>
    <mergeCell ref="D52:D54"/>
    <mergeCell ref="E52:E54"/>
    <mergeCell ref="G52:G54"/>
    <mergeCell ref="H52:H54"/>
    <mergeCell ref="Z52:Z54"/>
    <mergeCell ref="AA52:AA54"/>
    <mergeCell ref="AB52:AB54"/>
    <mergeCell ref="AC52:AC54"/>
    <mergeCell ref="AD52:AD54"/>
    <mergeCell ref="AF52:AF54"/>
    <mergeCell ref="AG52:AG54"/>
    <mergeCell ref="AI52:AI54"/>
    <mergeCell ref="AJ52:AJ54"/>
    <mergeCell ref="AK52:AK54"/>
    <mergeCell ref="AM52:AM54"/>
    <mergeCell ref="AN52:AN54"/>
    <mergeCell ref="AC49:AC51"/>
    <mergeCell ref="AD49:AD51"/>
    <mergeCell ref="AF49:AF51"/>
    <mergeCell ref="AG49:AG51"/>
    <mergeCell ref="AI49:AI51"/>
    <mergeCell ref="AJ49:AJ51"/>
    <mergeCell ref="AK49:AK51"/>
    <mergeCell ref="AM49:AM51"/>
    <mergeCell ref="AN49:AN51"/>
    <mergeCell ref="B49:B51"/>
    <mergeCell ref="C49:C51"/>
    <mergeCell ref="D49:D51"/>
    <mergeCell ref="E49:E51"/>
    <mergeCell ref="G49:G51"/>
    <mergeCell ref="H49:H51"/>
    <mergeCell ref="Z49:Z51"/>
    <mergeCell ref="AA49:AA51"/>
    <mergeCell ref="AB49:AB51"/>
    <mergeCell ref="AU34:AU36"/>
    <mergeCell ref="AO34:AO36"/>
    <mergeCell ref="AP34:AP36"/>
    <mergeCell ref="AT25:AT27"/>
    <mergeCell ref="AS25:AS27"/>
    <mergeCell ref="AU31:AU33"/>
    <mergeCell ref="AT31:AT33"/>
    <mergeCell ref="AS31:AS33"/>
    <mergeCell ref="AT28:AT30"/>
    <mergeCell ref="AS28:AS30"/>
    <mergeCell ref="AM25:AM27"/>
    <mergeCell ref="AN25:AN27"/>
    <mergeCell ref="AT22:AT24"/>
    <mergeCell ref="AS22:AS24"/>
    <mergeCell ref="AT18:AT21"/>
    <mergeCell ref="AS18:AS21"/>
    <mergeCell ref="AF37:AF39"/>
    <mergeCell ref="AS37:AS39"/>
    <mergeCell ref="AT37:AT39"/>
    <mergeCell ref="AI31:AI33"/>
    <mergeCell ref="AM28:AM30"/>
    <mergeCell ref="AN28:AN30"/>
    <mergeCell ref="AP25:AP27"/>
    <mergeCell ref="AQ22:AQ24"/>
    <mergeCell ref="AP22:AP24"/>
    <mergeCell ref="AK22:AK24"/>
    <mergeCell ref="AJ22:AJ24"/>
    <mergeCell ref="AO22:AO24"/>
    <mergeCell ref="AN22:AN24"/>
    <mergeCell ref="AO25:AO27"/>
    <mergeCell ref="AM22:AM24"/>
    <mergeCell ref="AK34:AK36"/>
    <mergeCell ref="AJ25:AJ27"/>
    <mergeCell ref="B37:B39"/>
    <mergeCell ref="C37:C39"/>
    <mergeCell ref="D37:D39"/>
    <mergeCell ref="E37:E39"/>
    <mergeCell ref="G37:G39"/>
    <mergeCell ref="H37:H39"/>
    <mergeCell ref="AO37:AO39"/>
    <mergeCell ref="AP37:AP39"/>
    <mergeCell ref="AQ37:AQ39"/>
    <mergeCell ref="Z37:Z39"/>
    <mergeCell ref="AA37:AA39"/>
    <mergeCell ref="B18:B21"/>
    <mergeCell ref="B31:B33"/>
    <mergeCell ref="C31:C33"/>
    <mergeCell ref="D31:D33"/>
    <mergeCell ref="E31:E33"/>
    <mergeCell ref="H31:H33"/>
    <mergeCell ref="AR22:AR24"/>
    <mergeCell ref="AL22:AL24"/>
    <mergeCell ref="Z46:Z48"/>
    <mergeCell ref="AA46:AA48"/>
    <mergeCell ref="AB46:AB48"/>
    <mergeCell ref="AC46:AC48"/>
    <mergeCell ref="AD46:AD48"/>
    <mergeCell ref="AF46:AF48"/>
    <mergeCell ref="AQ46:AQ48"/>
    <mergeCell ref="AO31:AO33"/>
    <mergeCell ref="AB31:AB33"/>
    <mergeCell ref="AC31:AC33"/>
    <mergeCell ref="AD31:AD33"/>
    <mergeCell ref="AA43:AA45"/>
    <mergeCell ref="Z40:Z42"/>
    <mergeCell ref="AA40:AA42"/>
    <mergeCell ref="AF31:AF33"/>
    <mergeCell ref="AG31:AG33"/>
    <mergeCell ref="AB43:AB45"/>
    <mergeCell ref="AC43:AC45"/>
    <mergeCell ref="AD43:AD45"/>
    <mergeCell ref="AM46:AM48"/>
    <mergeCell ref="AN46:AN48"/>
    <mergeCell ref="AQ34:AQ36"/>
    <mergeCell ref="AG37:AG39"/>
    <mergeCell ref="AM31:AM33"/>
    <mergeCell ref="AN31:AN33"/>
    <mergeCell ref="AF43:AF45"/>
    <mergeCell ref="AG43:AG45"/>
    <mergeCell ref="AM43:AM45"/>
    <mergeCell ref="AN43:AN45"/>
    <mergeCell ref="AB40:AB42"/>
    <mergeCell ref="AC40:AC42"/>
    <mergeCell ref="AD40:AD42"/>
    <mergeCell ref="AF34:AF36"/>
    <mergeCell ref="AG34:AG36"/>
    <mergeCell ref="AI34:AI36"/>
    <mergeCell ref="AB37:AB39"/>
    <mergeCell ref="AC37:AC39"/>
    <mergeCell ref="AD37:AD39"/>
    <mergeCell ref="AF40:AF42"/>
    <mergeCell ref="AG40:AG42"/>
    <mergeCell ref="AU46:AU48"/>
    <mergeCell ref="AG46:AG48"/>
    <mergeCell ref="AI46:AI48"/>
    <mergeCell ref="AJ46:AJ48"/>
    <mergeCell ref="AK46:AK48"/>
    <mergeCell ref="AO46:AO48"/>
    <mergeCell ref="AP46:AP48"/>
    <mergeCell ref="AT46:AT48"/>
    <mergeCell ref="AS46:AS48"/>
    <mergeCell ref="AU43:AU45"/>
    <mergeCell ref="AQ31:AQ33"/>
    <mergeCell ref="AP31:AP33"/>
    <mergeCell ref="AK31:AK33"/>
    <mergeCell ref="AJ31:AJ33"/>
    <mergeCell ref="AS34:AS36"/>
    <mergeCell ref="AU37:AU39"/>
    <mergeCell ref="AI37:AI39"/>
    <mergeCell ref="AJ37:AJ39"/>
    <mergeCell ref="AK37:AK39"/>
    <mergeCell ref="AM37:AM39"/>
    <mergeCell ref="AN37:AN39"/>
    <mergeCell ref="AT34:AT36"/>
    <mergeCell ref="AU40:AU42"/>
    <mergeCell ref="AQ43:AQ45"/>
    <mergeCell ref="AP43:AP45"/>
    <mergeCell ref="AK43:AK45"/>
    <mergeCell ref="AJ43:AJ45"/>
    <mergeCell ref="AT43:AT45"/>
    <mergeCell ref="AS43:AS45"/>
    <mergeCell ref="AT40:AT42"/>
    <mergeCell ref="AS40:AS42"/>
    <mergeCell ref="AM40:AM42"/>
    <mergeCell ref="AN40:AN42"/>
    <mergeCell ref="C18:C21"/>
    <mergeCell ref="D18:D21"/>
    <mergeCell ref="H28:H30"/>
    <mergeCell ref="G28:G30"/>
    <mergeCell ref="E18:E21"/>
    <mergeCell ref="D43:D45"/>
    <mergeCell ref="E43:E45"/>
    <mergeCell ref="B25:B27"/>
    <mergeCell ref="C25:C27"/>
    <mergeCell ref="D25:D27"/>
    <mergeCell ref="E25:E27"/>
    <mergeCell ref="B34:B36"/>
    <mergeCell ref="C34:C36"/>
    <mergeCell ref="D34:D36"/>
    <mergeCell ref="E34:E36"/>
    <mergeCell ref="B28:B30"/>
    <mergeCell ref="C28:C30"/>
    <mergeCell ref="D28:D30"/>
    <mergeCell ref="E28:E30"/>
    <mergeCell ref="G18:G21"/>
    <mergeCell ref="B22:B24"/>
    <mergeCell ref="C22:C24"/>
    <mergeCell ref="D22:D24"/>
    <mergeCell ref="E22:E24"/>
    <mergeCell ref="B46:B48"/>
    <mergeCell ref="C46:C48"/>
    <mergeCell ref="D46:D48"/>
    <mergeCell ref="E46:E48"/>
    <mergeCell ref="G46:G48"/>
    <mergeCell ref="H46:H48"/>
    <mergeCell ref="AQ40:AQ42"/>
    <mergeCell ref="AP40:AP42"/>
    <mergeCell ref="AK40:AK42"/>
    <mergeCell ref="AJ40:AJ42"/>
    <mergeCell ref="AO40:AO42"/>
    <mergeCell ref="AO43:AO45"/>
    <mergeCell ref="AI43:AI45"/>
    <mergeCell ref="H43:H45"/>
    <mergeCell ref="G43:G45"/>
    <mergeCell ref="B40:B42"/>
    <mergeCell ref="C40:C42"/>
    <mergeCell ref="D40:D42"/>
    <mergeCell ref="E40:E42"/>
    <mergeCell ref="H40:H42"/>
    <mergeCell ref="G40:G42"/>
    <mergeCell ref="B43:B45"/>
    <mergeCell ref="C43:C45"/>
    <mergeCell ref="Z43:Z45"/>
    <mergeCell ref="AQ14:AQ17"/>
    <mergeCell ref="AP14:AP17"/>
    <mergeCell ref="AK14:AK17"/>
    <mergeCell ref="AJ14:AJ17"/>
    <mergeCell ref="AO14:AO17"/>
    <mergeCell ref="AO18:AO21"/>
    <mergeCell ref="AQ18:AQ21"/>
    <mergeCell ref="AP18:AP21"/>
    <mergeCell ref="AK18:AK21"/>
    <mergeCell ref="AJ18:AJ21"/>
    <mergeCell ref="AN18:AN21"/>
    <mergeCell ref="AU22:AU24"/>
    <mergeCell ref="AU25:AU27"/>
    <mergeCell ref="AC18:AC21"/>
    <mergeCell ref="AD18:AD21"/>
    <mergeCell ref="AU28:AU30"/>
    <mergeCell ref="AF25:AF27"/>
    <mergeCell ref="AG25:AG27"/>
    <mergeCell ref="AI25:AI27"/>
    <mergeCell ref="AQ28:AQ30"/>
    <mergeCell ref="AI18:AI21"/>
    <mergeCell ref="AP28:AP30"/>
    <mergeCell ref="AK28:AK30"/>
    <mergeCell ref="AC25:AC27"/>
    <mergeCell ref="AD25:AD27"/>
    <mergeCell ref="AF22:AF24"/>
    <mergeCell ref="AF28:AF30"/>
    <mergeCell ref="AC28:AC30"/>
    <mergeCell ref="AD28:AD30"/>
    <mergeCell ref="AG28:AG30"/>
    <mergeCell ref="AI28:AI30"/>
    <mergeCell ref="AJ28:AJ30"/>
    <mergeCell ref="AO28:AO30"/>
    <mergeCell ref="AQ25:AQ27"/>
    <mergeCell ref="AK25:AK27"/>
    <mergeCell ref="AU6:AU9"/>
    <mergeCell ref="AU10:AU13"/>
    <mergeCell ref="AU14:AU17"/>
    <mergeCell ref="AU18:AU21"/>
    <mergeCell ref="AF6:AF9"/>
    <mergeCell ref="AF10:AF13"/>
    <mergeCell ref="AG6:AG9"/>
    <mergeCell ref="AG10:AG13"/>
    <mergeCell ref="AI10:AI13"/>
    <mergeCell ref="AI14:AI17"/>
    <mergeCell ref="AG14:AG17"/>
    <mergeCell ref="AT14:AT17"/>
    <mergeCell ref="AS14:AS17"/>
    <mergeCell ref="AT10:AT13"/>
    <mergeCell ref="AS10:AS13"/>
    <mergeCell ref="AT6:AT9"/>
    <mergeCell ref="AS6:AS9"/>
    <mergeCell ref="AI6:AI9"/>
    <mergeCell ref="AQ6:AQ9"/>
    <mergeCell ref="AQ10:AQ13"/>
    <mergeCell ref="AP10:AP13"/>
    <mergeCell ref="AK10:AK13"/>
    <mergeCell ref="AJ10:AJ13"/>
    <mergeCell ref="AN6:AN9"/>
    <mergeCell ref="AM10:AM13"/>
    <mergeCell ref="AM18:AM21"/>
    <mergeCell ref="H22:H24"/>
    <mergeCell ref="AB6:AB9"/>
    <mergeCell ref="AC6:AC9"/>
    <mergeCell ref="AA6:AA9"/>
    <mergeCell ref="AD6:AD9"/>
    <mergeCell ref="AN10:AN13"/>
    <mergeCell ref="AP6:AP9"/>
    <mergeCell ref="AK6:AK9"/>
    <mergeCell ref="AJ6:AJ9"/>
    <mergeCell ref="AO6:AO9"/>
    <mergeCell ref="AC10:AC13"/>
    <mergeCell ref="AD10:AD13"/>
    <mergeCell ref="AD14:AD17"/>
    <mergeCell ref="AA18:AA21"/>
    <mergeCell ref="AB10:AB13"/>
    <mergeCell ref="AF18:AF21"/>
    <mergeCell ref="AF14:AF17"/>
    <mergeCell ref="AM6:AM9"/>
    <mergeCell ref="AG22:AG24"/>
    <mergeCell ref="AC14:AC17"/>
    <mergeCell ref="AE22:AE24"/>
    <mergeCell ref="AI22:AI24"/>
    <mergeCell ref="B6:B9"/>
    <mergeCell ref="B14:B17"/>
    <mergeCell ref="AA10:AA13"/>
    <mergeCell ref="H10:H13"/>
    <mergeCell ref="E10:E13"/>
    <mergeCell ref="E14:E17"/>
    <mergeCell ref="D14:D17"/>
    <mergeCell ref="C6:C9"/>
    <mergeCell ref="D6:D9"/>
    <mergeCell ref="B10:B13"/>
    <mergeCell ref="C14:C17"/>
    <mergeCell ref="E6:E9"/>
    <mergeCell ref="C10:C13"/>
    <mergeCell ref="D10:D13"/>
    <mergeCell ref="G10:G13"/>
    <mergeCell ref="H14:H17"/>
    <mergeCell ref="G14:G17"/>
    <mergeCell ref="AA14:AA17"/>
    <mergeCell ref="Z10:Z12"/>
    <mergeCell ref="G6:G9"/>
    <mergeCell ref="AB25:AB27"/>
    <mergeCell ref="G34:G36"/>
    <mergeCell ref="H34:H36"/>
    <mergeCell ref="Z34:Z36"/>
    <mergeCell ref="AA34:AA36"/>
    <mergeCell ref="AB34:AB36"/>
    <mergeCell ref="AC34:AC36"/>
    <mergeCell ref="AD34:AD36"/>
    <mergeCell ref="G25:G27"/>
    <mergeCell ref="AA25:AA27"/>
    <mergeCell ref="Z25:Z27"/>
    <mergeCell ref="AA28:AA30"/>
    <mergeCell ref="Z28:Z30"/>
    <mergeCell ref="AB28:AB30"/>
    <mergeCell ref="G31:G33"/>
    <mergeCell ref="H25:H27"/>
    <mergeCell ref="AE28:AE30"/>
    <mergeCell ref="AI40:AI42"/>
    <mergeCell ref="G22:G24"/>
    <mergeCell ref="Z22:Z24"/>
    <mergeCell ref="AO10:AO13"/>
    <mergeCell ref="H18:H21"/>
    <mergeCell ref="H6:H9"/>
    <mergeCell ref="AA22:AA24"/>
    <mergeCell ref="AN34:AN36"/>
    <mergeCell ref="AM14:AM17"/>
    <mergeCell ref="AN14:AN17"/>
    <mergeCell ref="AM34:AM36"/>
    <mergeCell ref="Z31:Z33"/>
    <mergeCell ref="AA31:AA33"/>
    <mergeCell ref="Z6:Z8"/>
    <mergeCell ref="Z14:Z16"/>
    <mergeCell ref="Z18:Z20"/>
    <mergeCell ref="AC22:AC24"/>
    <mergeCell ref="AD22:AD24"/>
    <mergeCell ref="AB14:AB17"/>
    <mergeCell ref="AB18:AB21"/>
    <mergeCell ref="AG18:AG21"/>
    <mergeCell ref="AB22:AB24"/>
    <mergeCell ref="AJ34:AJ36"/>
  </mergeCells>
  <phoneticPr fontId="6" type="noConversion"/>
  <conditionalFormatting sqref="P30:Q33 P6:Q11 P29 P13:Q28 P40:Q48 P64:Q59796">
    <cfRule type="expression" dxfId="17" priority="26" stopIfTrue="1">
      <formula>$O6="No"</formula>
    </cfRule>
  </conditionalFormatting>
  <conditionalFormatting sqref="P31:Q33">
    <cfRule type="expression" dxfId="16" priority="23" stopIfTrue="1">
      <formula>$O31="No"</formula>
    </cfRule>
  </conditionalFormatting>
  <conditionalFormatting sqref="S26:Y26">
    <cfRule type="expression" dxfId="15" priority="21" stopIfTrue="1">
      <formula>$O26="No"</formula>
    </cfRule>
  </conditionalFormatting>
  <conditionalFormatting sqref="AH26">
    <cfRule type="expression" dxfId="14" priority="20" stopIfTrue="1">
      <formula>$O26="No"</formula>
    </cfRule>
  </conditionalFormatting>
  <conditionalFormatting sqref="R34">
    <cfRule type="expression" dxfId="13" priority="10" stopIfTrue="1">
      <formula>$O34="No"</formula>
    </cfRule>
  </conditionalFormatting>
  <conditionalFormatting sqref="P36:Q36 P34:Q34 P35">
    <cfRule type="expression" dxfId="12" priority="11" stopIfTrue="1">
      <formula>$O34="No"</formula>
    </cfRule>
  </conditionalFormatting>
  <conditionalFormatting sqref="R37">
    <cfRule type="expression" dxfId="11" priority="8" stopIfTrue="1">
      <formula>$O37="No"</formula>
    </cfRule>
  </conditionalFormatting>
  <conditionalFormatting sqref="P39:Q39 P37:Q37 P38">
    <cfRule type="expression" dxfId="10" priority="9" stopIfTrue="1">
      <formula>$O37="No"</formula>
    </cfRule>
  </conditionalFormatting>
  <conditionalFormatting sqref="P12:Q12">
    <cfRule type="expression" dxfId="9" priority="7" stopIfTrue="1">
      <formula>$O12="No"</formula>
    </cfRule>
  </conditionalFormatting>
  <conditionalFormatting sqref="Q49:Q51">
    <cfRule type="expression" dxfId="8" priority="6" stopIfTrue="1">
      <formula>$O49="No"</formula>
    </cfRule>
  </conditionalFormatting>
  <conditionalFormatting sqref="Q52:Q54">
    <cfRule type="expression" dxfId="7" priority="5" stopIfTrue="1">
      <formula>$O52="No"</formula>
    </cfRule>
  </conditionalFormatting>
  <conditionalFormatting sqref="P62:Q63 Q55:Q61">
    <cfRule type="expression" dxfId="6" priority="4" stopIfTrue="1">
      <formula>$O55="No"</formula>
    </cfRule>
  </conditionalFormatting>
  <conditionalFormatting sqref="P49:P51">
    <cfRule type="expression" dxfId="5" priority="3" stopIfTrue="1">
      <formula>$O49="No"</formula>
    </cfRule>
  </conditionalFormatting>
  <conditionalFormatting sqref="P52:P54">
    <cfRule type="expression" dxfId="4" priority="2" stopIfTrue="1">
      <formula>$O52="No"</formula>
    </cfRule>
  </conditionalFormatting>
  <conditionalFormatting sqref="P55:P61">
    <cfRule type="expression" dxfId="3" priority="1" stopIfTrue="1">
      <formula>$O55="No"</formula>
    </cfRule>
  </conditionalFormatting>
  <dataValidations disablePrompts="1" count="3">
    <dataValidation type="list" allowBlank="1" showInputMessage="1" showErrorMessage="1" sqref="L6:L62493" xr:uid="{00000000-0002-0000-0500-000000000000}">
      <formula1>priorpost</formula1>
    </dataValidation>
    <dataValidation type="list" allowBlank="1" showInputMessage="1" showErrorMessage="1" sqref="N6:O59793" xr:uid="{00000000-0002-0000-0500-000001000000}">
      <formula1>yn</formula1>
    </dataValidation>
    <dataValidation type="list" allowBlank="1" showInputMessage="1" showErrorMessage="1" sqref="E6:E59802" xr:uid="{00000000-0002-0000-0500-000002000000}">
      <formula1>gwncs</formula1>
    </dataValidation>
  </dataValidations>
  <printOptions horizontalCentered="1"/>
  <pageMargins left="0.27" right="0.25" top="0.98425196850393704" bottom="0.98425196850393704" header="0.511811023622047" footer="0.511811023622047"/>
  <pageSetup paperSize="8" scale="36" orientation="landscape" r:id="rId1"/>
  <headerFooter alignWithMargins="0">
    <oddHeader>&amp;C&amp;"Times New Roman,Bold"&amp;18GOODS &amp; WORKS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AO51"/>
  <sheetViews>
    <sheetView showGridLines="0" topLeftCell="A5" zoomScaleNormal="100" workbookViewId="0">
      <pane xSplit="4" ySplit="1" topLeftCell="E30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E31" sqref="E31:E50"/>
    </sheetView>
  </sheetViews>
  <sheetFormatPr defaultColWidth="8.86328125" defaultRowHeight="12.75" x14ac:dyDescent="0.35"/>
  <cols>
    <col min="1" max="1" width="8.86328125" style="143"/>
    <col min="2" max="2" width="4.3984375" style="143" customWidth="1"/>
    <col min="3" max="3" width="11.265625" style="155" customWidth="1"/>
    <col min="4" max="4" width="25.1328125" style="143" customWidth="1"/>
    <col min="5" max="5" width="16.1328125" style="157" customWidth="1"/>
    <col min="6" max="9" width="14.1328125" style="157" customWidth="1"/>
    <col min="10" max="10" width="9.86328125" style="189" customWidth="1"/>
    <col min="11" max="11" width="8.86328125" style="189" customWidth="1"/>
    <col min="12" max="12" width="10.73046875" style="189" customWidth="1"/>
    <col min="13" max="13" width="10.59765625" style="189" customWidth="1"/>
    <col min="14" max="14" width="12.73046875" style="190" customWidth="1"/>
    <col min="15" max="15" width="13.86328125" style="191" customWidth="1"/>
    <col min="16" max="16" width="13.86328125" style="190" customWidth="1"/>
    <col min="17" max="19" width="13.86328125" style="162" customWidth="1"/>
    <col min="20" max="24" width="13.86328125" style="191" customWidth="1"/>
    <col min="25" max="25" width="19.265625" style="192" customWidth="1"/>
    <col min="26" max="26" width="9.86328125" style="192" customWidth="1"/>
    <col min="27" max="27" width="10.265625" style="189" customWidth="1"/>
    <col min="28" max="28" width="13.3984375" style="192" customWidth="1"/>
    <col min="29" max="29" width="12.3984375" style="192" customWidth="1"/>
    <col min="30" max="30" width="14.59765625" style="192" customWidth="1"/>
    <col min="31" max="31" width="23" style="189" customWidth="1"/>
    <col min="32" max="32" width="13.86328125" style="191" customWidth="1"/>
    <col min="33" max="34" width="17.86328125" style="189" customWidth="1"/>
    <col min="35" max="35" width="19.86328125" style="189" customWidth="1"/>
    <col min="36" max="36" width="17.86328125" style="193" customWidth="1"/>
    <col min="37" max="39" width="17.86328125" style="189" customWidth="1"/>
    <col min="40" max="40" width="17.86328125" style="193" customWidth="1"/>
    <col min="41" max="41" width="23.59765625" style="143" hidden="1" customWidth="1"/>
    <col min="42" max="16384" width="8.86328125" style="143"/>
  </cols>
  <sheetData>
    <row r="1" spans="1:41" ht="17.649999999999999" x14ac:dyDescent="0.5">
      <c r="B1" s="137" t="s">
        <v>67</v>
      </c>
      <c r="C1" s="136"/>
      <c r="D1" s="137"/>
      <c r="E1" s="139"/>
      <c r="F1" s="139"/>
      <c r="G1" s="139"/>
      <c r="H1" s="139"/>
      <c r="I1" s="139"/>
      <c r="J1" s="177"/>
      <c r="K1" s="177"/>
      <c r="L1" s="177"/>
      <c r="M1" s="177"/>
      <c r="N1" s="178"/>
      <c r="O1" s="179"/>
      <c r="P1" s="178"/>
      <c r="Q1" s="141"/>
      <c r="R1" s="141"/>
      <c r="S1" s="141"/>
      <c r="T1" s="179"/>
      <c r="U1" s="179"/>
      <c r="V1" s="179"/>
      <c r="W1" s="179"/>
      <c r="X1" s="179"/>
      <c r="Y1" s="177"/>
      <c r="Z1" s="177"/>
      <c r="AA1" s="177"/>
      <c r="AB1" s="177"/>
      <c r="AC1" s="177"/>
      <c r="AD1" s="177"/>
      <c r="AE1" s="177"/>
      <c r="AF1" s="179"/>
      <c r="AG1" s="177"/>
      <c r="AH1" s="177"/>
      <c r="AI1" s="177"/>
      <c r="AJ1" s="177"/>
      <c r="AK1" s="177"/>
      <c r="AL1" s="177"/>
      <c r="AM1" s="177"/>
      <c r="AN1" s="177"/>
    </row>
    <row r="2" spans="1:41" ht="13.15" x14ac:dyDescent="0.4">
      <c r="B2" s="180" t="str">
        <f>IF(projID="enter Project ID here","Enter Project information on the General sheet",country&amp;" "&amp;projID&amp;": "&amp;projectName&amp;" "&amp;lncr)</f>
        <v>Lebanon IBRD 7010: Greater Beirut Water Supply Project 7967-LE/</v>
      </c>
      <c r="C2" s="181"/>
      <c r="D2" s="180"/>
      <c r="E2" s="182"/>
      <c r="F2" s="182"/>
      <c r="G2" s="182"/>
      <c r="H2" s="182"/>
      <c r="I2" s="182"/>
      <c r="J2" s="183"/>
      <c r="K2" s="183"/>
      <c r="L2" s="183"/>
      <c r="M2" s="183"/>
      <c r="N2" s="184"/>
      <c r="O2" s="185"/>
      <c r="P2" s="184"/>
      <c r="Q2" s="186"/>
      <c r="R2" s="186"/>
      <c r="S2" s="186"/>
      <c r="T2" s="185"/>
      <c r="U2" s="185"/>
      <c r="V2" s="185"/>
      <c r="W2" s="185"/>
      <c r="X2" s="185"/>
      <c r="Y2" s="187"/>
      <c r="Z2" s="187"/>
      <c r="AA2" s="183"/>
      <c r="AB2" s="187"/>
      <c r="AC2" s="187"/>
      <c r="AD2" s="187"/>
      <c r="AE2" s="183"/>
      <c r="AF2" s="185"/>
      <c r="AG2" s="183"/>
      <c r="AH2" s="183"/>
      <c r="AI2" s="183"/>
      <c r="AJ2" s="188"/>
      <c r="AK2" s="183"/>
      <c r="AL2" s="183"/>
      <c r="AM2" s="183"/>
      <c r="AN2" s="188"/>
    </row>
    <row r="3" spans="1:41" x14ac:dyDescent="0.35">
      <c r="Q3" s="40"/>
    </row>
    <row r="4" spans="1:41" ht="24" customHeight="1" x14ac:dyDescent="0.35">
      <c r="A4" s="154" t="s">
        <v>95</v>
      </c>
      <c r="Q4" s="677" t="s">
        <v>107</v>
      </c>
      <c r="R4" s="678"/>
      <c r="S4" s="679"/>
    </row>
    <row r="5" spans="1:41" s="173" customFormat="1" ht="91.9" x14ac:dyDescent="0.35">
      <c r="A5" s="166"/>
      <c r="B5" s="167" t="s">
        <v>54</v>
      </c>
      <c r="C5" s="167" t="s">
        <v>64</v>
      </c>
      <c r="D5" s="167" t="s">
        <v>55</v>
      </c>
      <c r="E5" s="168" t="s">
        <v>41</v>
      </c>
      <c r="F5" s="169" t="s">
        <v>351</v>
      </c>
      <c r="G5" s="169" t="s">
        <v>352</v>
      </c>
      <c r="H5" s="168" t="s">
        <v>354</v>
      </c>
      <c r="I5" s="168" t="s">
        <v>353</v>
      </c>
      <c r="J5" s="167" t="s">
        <v>63</v>
      </c>
      <c r="K5" s="167" t="s">
        <v>105</v>
      </c>
      <c r="L5" s="167" t="s">
        <v>106</v>
      </c>
      <c r="M5" s="167" t="s">
        <v>59</v>
      </c>
      <c r="N5" s="170" t="s">
        <v>56</v>
      </c>
      <c r="O5" s="170" t="s">
        <v>57</v>
      </c>
      <c r="P5" s="170" t="s">
        <v>104</v>
      </c>
      <c r="Q5" s="170" t="s">
        <v>101</v>
      </c>
      <c r="R5" s="170" t="s">
        <v>102</v>
      </c>
      <c r="S5" s="170" t="s">
        <v>103</v>
      </c>
      <c r="T5" s="170" t="s">
        <v>58</v>
      </c>
      <c r="U5" s="170" t="s">
        <v>66</v>
      </c>
      <c r="V5" s="170" t="s">
        <v>68</v>
      </c>
      <c r="W5" s="170" t="s">
        <v>60</v>
      </c>
      <c r="X5" s="170" t="s">
        <v>92</v>
      </c>
      <c r="Y5" s="167" t="s">
        <v>90</v>
      </c>
      <c r="Z5" s="167" t="s">
        <v>91</v>
      </c>
      <c r="AA5" s="167" t="s">
        <v>84</v>
      </c>
      <c r="AB5" s="171" t="s">
        <v>357</v>
      </c>
      <c r="AC5" s="171" t="s">
        <v>358</v>
      </c>
      <c r="AD5" s="171" t="s">
        <v>359</v>
      </c>
      <c r="AE5" s="167" t="s">
        <v>94</v>
      </c>
      <c r="AF5" s="170" t="s">
        <v>69</v>
      </c>
      <c r="AG5" s="167" t="s">
        <v>364</v>
      </c>
      <c r="AH5" s="167" t="s">
        <v>360</v>
      </c>
      <c r="AI5" s="167" t="s">
        <v>361</v>
      </c>
      <c r="AJ5" s="172" t="s">
        <v>486</v>
      </c>
      <c r="AK5" s="167" t="s">
        <v>366</v>
      </c>
      <c r="AL5" s="167" t="s">
        <v>362</v>
      </c>
      <c r="AM5" s="167" t="s">
        <v>363</v>
      </c>
      <c r="AN5" s="172" t="s">
        <v>491</v>
      </c>
      <c r="AO5" s="194" t="s">
        <v>169</v>
      </c>
    </row>
    <row r="6" spans="1:41" x14ac:dyDescent="0.35">
      <c r="A6" s="195" t="s">
        <v>87</v>
      </c>
      <c r="B6" s="660" t="s">
        <v>336</v>
      </c>
      <c r="C6" s="594" t="s">
        <v>275</v>
      </c>
      <c r="D6" s="594" t="s">
        <v>165</v>
      </c>
      <c r="E6" s="37">
        <v>6390000</v>
      </c>
      <c r="F6" s="566">
        <v>1</v>
      </c>
      <c r="G6" s="566">
        <f>1-F6</f>
        <v>0</v>
      </c>
      <c r="H6" s="34">
        <f>$E6*F6/($F6+1.1*$G6)</f>
        <v>6390000</v>
      </c>
      <c r="I6" s="34">
        <f>1.1*G6*$E6/($F6+1.1*$G6)</f>
        <v>0</v>
      </c>
      <c r="J6" s="429"/>
      <c r="K6" s="429"/>
      <c r="L6" s="429"/>
      <c r="M6" s="429"/>
      <c r="N6" s="423">
        <v>40636</v>
      </c>
      <c r="O6" s="38">
        <v>40668</v>
      </c>
      <c r="P6" s="423">
        <v>40668</v>
      </c>
      <c r="Q6" s="38">
        <v>40702</v>
      </c>
      <c r="R6" s="38">
        <v>40675</v>
      </c>
      <c r="S6" s="38">
        <v>40702</v>
      </c>
      <c r="T6" s="38">
        <v>40703</v>
      </c>
      <c r="U6" s="38">
        <v>40730</v>
      </c>
      <c r="V6" s="38">
        <v>40758</v>
      </c>
      <c r="W6" s="38">
        <v>40779</v>
      </c>
      <c r="X6" s="635">
        <v>42009</v>
      </c>
      <c r="Y6" s="638">
        <v>6351500</v>
      </c>
      <c r="Z6" s="688" t="s">
        <v>315</v>
      </c>
      <c r="AA6" s="681">
        <v>18338</v>
      </c>
      <c r="AB6" s="551"/>
      <c r="AC6" s="551">
        <f>IF(F6=0,IF(G6=0,0,F6*$AB6/($F6+1.1*$G6)),F6*$AB6/($F6+1.1*$G6))</f>
        <v>0</v>
      </c>
      <c r="AD6" s="551">
        <f>IF(F6=0,IF(G6=0,0,1.1*G6*$AB6/($F6+1.1*$G6)),1.1*G6*$AB6/($F6+1.1*$G6))</f>
        <v>0</v>
      </c>
      <c r="AE6" s="641" t="s">
        <v>549</v>
      </c>
      <c r="AF6" s="38">
        <v>42027</v>
      </c>
      <c r="AG6" s="672"/>
      <c r="AH6" s="581"/>
      <c r="AI6" s="581">
        <f>1.1*G6*$AG6/($F6+1.1*$G6)</f>
        <v>0</v>
      </c>
      <c r="AJ6" s="572" t="str">
        <f>IF(AB6=0,"",AG6/AB6)</f>
        <v/>
      </c>
      <c r="AK6" s="563">
        <f>AB6-AG6</f>
        <v>0</v>
      </c>
      <c r="AL6" s="563">
        <f>AC6-AH6</f>
        <v>0</v>
      </c>
      <c r="AM6" s="563">
        <f>AD6-AI6</f>
        <v>0</v>
      </c>
      <c r="AN6" s="572" t="str">
        <f>IF(AB6=0,"",1-AJ6)</f>
        <v/>
      </c>
      <c r="AO6" s="697"/>
    </row>
    <row r="7" spans="1:41" x14ac:dyDescent="0.35">
      <c r="A7" s="196" t="s">
        <v>88</v>
      </c>
      <c r="B7" s="661"/>
      <c r="C7" s="633"/>
      <c r="D7" s="590"/>
      <c r="E7" s="31">
        <v>7284000</v>
      </c>
      <c r="F7" s="567"/>
      <c r="G7" s="567"/>
      <c r="H7" s="35">
        <f>$E7*F6/($F6+1.1*$G6)</f>
        <v>7284000</v>
      </c>
      <c r="I7" s="35">
        <f>1.1*G6*$E7/($F6+1.1*$G6)</f>
        <v>0</v>
      </c>
      <c r="J7" s="426" t="s">
        <v>113</v>
      </c>
      <c r="K7" s="426" t="s">
        <v>61</v>
      </c>
      <c r="L7" s="426" t="s">
        <v>70</v>
      </c>
      <c r="M7" s="426" t="s">
        <v>46</v>
      </c>
      <c r="N7" s="424"/>
      <c r="O7" s="39"/>
      <c r="P7" s="424"/>
      <c r="Q7" s="39"/>
      <c r="R7" s="39"/>
      <c r="S7" s="39"/>
      <c r="T7" s="39"/>
      <c r="U7" s="39"/>
      <c r="V7" s="39"/>
      <c r="W7" s="39"/>
      <c r="X7" s="636"/>
      <c r="Y7" s="639"/>
      <c r="Z7" s="645"/>
      <c r="AA7" s="682"/>
      <c r="AB7" s="552"/>
      <c r="AC7" s="552"/>
      <c r="AD7" s="552"/>
      <c r="AE7" s="669"/>
      <c r="AF7" s="39">
        <f>'Goods and WorksPP'!AH23+30-30</f>
        <v>43495</v>
      </c>
      <c r="AG7" s="673"/>
      <c r="AH7" s="581"/>
      <c r="AI7" s="581"/>
      <c r="AJ7" s="573"/>
      <c r="AK7" s="564"/>
      <c r="AL7" s="564"/>
      <c r="AM7" s="564"/>
      <c r="AN7" s="573"/>
      <c r="AO7" s="698"/>
    </row>
    <row r="8" spans="1:41" x14ac:dyDescent="0.35">
      <c r="A8" s="197" t="s">
        <v>89</v>
      </c>
      <c r="B8" s="662"/>
      <c r="C8" s="634"/>
      <c r="D8" s="592"/>
      <c r="E8" s="32">
        <v>6477259.7000000002</v>
      </c>
      <c r="F8" s="568"/>
      <c r="G8" s="568"/>
      <c r="H8" s="36">
        <f>$E8*F6/($F6+1.1*$G6)</f>
        <v>6477259.7000000002</v>
      </c>
      <c r="I8" s="36">
        <f>1.1*G6*$E8/($F6+1.1*$G6)</f>
        <v>0</v>
      </c>
      <c r="J8" s="428"/>
      <c r="K8" s="428"/>
      <c r="L8" s="428"/>
      <c r="M8" s="428"/>
      <c r="N8" s="425">
        <v>40795</v>
      </c>
      <c r="O8" s="198">
        <v>40904</v>
      </c>
      <c r="P8" s="425">
        <v>41102</v>
      </c>
      <c r="Q8" s="198">
        <v>41348</v>
      </c>
      <c r="R8" s="198">
        <v>40930</v>
      </c>
      <c r="S8" s="198">
        <v>41348</v>
      </c>
      <c r="T8" s="198">
        <v>41423</v>
      </c>
      <c r="U8" s="198">
        <v>41460</v>
      </c>
      <c r="V8" s="198">
        <v>41744</v>
      </c>
      <c r="W8" s="198">
        <v>41969</v>
      </c>
      <c r="X8" s="637"/>
      <c r="Y8" s="640"/>
      <c r="Z8" s="646"/>
      <c r="AA8" s="683"/>
      <c r="AB8" s="553"/>
      <c r="AC8" s="553"/>
      <c r="AD8" s="553"/>
      <c r="AE8" s="670"/>
      <c r="AF8" s="39"/>
      <c r="AG8" s="674"/>
      <c r="AH8" s="581"/>
      <c r="AI8" s="581"/>
      <c r="AJ8" s="574"/>
      <c r="AK8" s="565"/>
      <c r="AL8" s="565"/>
      <c r="AM8" s="565"/>
      <c r="AN8" s="574"/>
      <c r="AO8" s="699"/>
    </row>
    <row r="9" spans="1:41" x14ac:dyDescent="0.35">
      <c r="A9" s="199" t="s">
        <v>87</v>
      </c>
      <c r="B9" s="675" t="s">
        <v>337</v>
      </c>
      <c r="C9" s="676" t="s">
        <v>276</v>
      </c>
      <c r="D9" s="594" t="s">
        <v>167</v>
      </c>
      <c r="E9" s="200">
        <v>1500000</v>
      </c>
      <c r="F9" s="566">
        <v>0.05</v>
      </c>
      <c r="G9" s="566">
        <f>1-F9</f>
        <v>0.95</v>
      </c>
      <c r="H9" s="34">
        <f>$E9*F9/($F9+1.1*$G9)</f>
        <v>68493.150684931505</v>
      </c>
      <c r="I9" s="34">
        <f>1.1*G9*$E9/($F9+1.1*$G9)</f>
        <v>1431506.8493150685</v>
      </c>
      <c r="J9" s="433"/>
      <c r="K9" s="433"/>
      <c r="L9" s="433"/>
      <c r="M9" s="433"/>
      <c r="N9" s="201">
        <v>40785</v>
      </c>
      <c r="O9" s="202">
        <v>40820</v>
      </c>
      <c r="P9" s="201">
        <v>40821</v>
      </c>
      <c r="Q9" s="202">
        <v>40835</v>
      </c>
      <c r="R9" s="202">
        <v>40834</v>
      </c>
      <c r="S9" s="202">
        <v>40835</v>
      </c>
      <c r="T9" s="202">
        <v>40836</v>
      </c>
      <c r="U9" s="202">
        <v>40862</v>
      </c>
      <c r="V9" s="202">
        <v>40890</v>
      </c>
      <c r="W9" s="202">
        <v>40918</v>
      </c>
      <c r="X9" s="684">
        <v>43133</v>
      </c>
      <c r="Y9" s="663" t="s">
        <v>644</v>
      </c>
      <c r="Z9" s="687" t="s">
        <v>646</v>
      </c>
      <c r="AA9" s="689"/>
      <c r="AB9" s="551"/>
      <c r="AC9" s="551">
        <f>IF(F9=0,IF(G9=0,0,F9*$AB9/($F9+1.11*$G9)),F9*$AB9/($F9+1.11*$G9))</f>
        <v>0</v>
      </c>
      <c r="AD9" s="551">
        <f>IF(F9=0,IF(G9=0,0,1.11*G9*$AB9/($F9+1.11*$G9)),1.11*G9*$AB9/($F9+1.11*$G9))</f>
        <v>0</v>
      </c>
      <c r="AE9" s="666" t="s">
        <v>681</v>
      </c>
      <c r="AF9" s="38">
        <v>41716</v>
      </c>
      <c r="AG9" s="671"/>
      <c r="AH9" s="581"/>
      <c r="AI9" s="581"/>
      <c r="AJ9" s="572" t="str">
        <f>IF(AB9=0,"",AG9/AB9)</f>
        <v/>
      </c>
      <c r="AK9" s="563">
        <f>AB9-AG9</f>
        <v>0</v>
      </c>
      <c r="AL9" s="563">
        <f>AC9-AH9</f>
        <v>0</v>
      </c>
      <c r="AM9" s="563">
        <f>AD9-AI9</f>
        <v>0</v>
      </c>
      <c r="AN9" s="572" t="str">
        <f>IF(AB9=0,"",1-AJ9)</f>
        <v/>
      </c>
      <c r="AO9" s="628"/>
    </row>
    <row r="10" spans="1:41" x14ac:dyDescent="0.35">
      <c r="A10" s="175" t="s">
        <v>88</v>
      </c>
      <c r="B10" s="661"/>
      <c r="C10" s="633"/>
      <c r="D10" s="590"/>
      <c r="E10" s="31"/>
      <c r="F10" s="567"/>
      <c r="G10" s="567"/>
      <c r="H10" s="35">
        <f>$E10*F9/($F9+1.1*$G9)</f>
        <v>0</v>
      </c>
      <c r="I10" s="35">
        <f>1.1*G9*$E10/($F9+1.1*$G9)</f>
        <v>0</v>
      </c>
      <c r="J10" s="426" t="s">
        <v>113</v>
      </c>
      <c r="K10" s="426" t="s">
        <v>61</v>
      </c>
      <c r="L10" s="426" t="s">
        <v>70</v>
      </c>
      <c r="M10" s="426" t="s">
        <v>46</v>
      </c>
      <c r="N10" s="424"/>
      <c r="O10" s="216"/>
      <c r="P10" s="216"/>
      <c r="Q10" s="424"/>
      <c r="R10" s="424"/>
      <c r="S10" s="424"/>
      <c r="T10" s="424"/>
      <c r="U10" s="424"/>
      <c r="V10" s="424">
        <f>U11+28</f>
        <v>43020</v>
      </c>
      <c r="W10" s="424">
        <f>V10+7</f>
        <v>43027</v>
      </c>
      <c r="X10" s="685"/>
      <c r="Y10" s="664"/>
      <c r="Z10" s="570"/>
      <c r="AA10" s="653"/>
      <c r="AB10" s="552"/>
      <c r="AC10" s="552"/>
      <c r="AD10" s="552"/>
      <c r="AE10" s="667"/>
      <c r="AF10" s="424">
        <f>'Goods and WorksPP'!AH29+15-15</f>
        <v>43799</v>
      </c>
      <c r="AG10" s="555"/>
      <c r="AH10" s="581"/>
      <c r="AI10" s="581"/>
      <c r="AJ10" s="573"/>
      <c r="AK10" s="564"/>
      <c r="AL10" s="564"/>
      <c r="AM10" s="564"/>
      <c r="AN10" s="573"/>
      <c r="AO10" s="629"/>
    </row>
    <row r="11" spans="1:41" x14ac:dyDescent="0.35">
      <c r="A11" s="176" t="s">
        <v>89</v>
      </c>
      <c r="B11" s="662"/>
      <c r="C11" s="634"/>
      <c r="D11" s="592"/>
      <c r="E11" s="32"/>
      <c r="F11" s="568"/>
      <c r="G11" s="568"/>
      <c r="H11" s="36">
        <f>$E11*F9/($F9+1.1*$G9)</f>
        <v>0</v>
      </c>
      <c r="I11" s="36">
        <f>1.1*G9*$E11/($F9+1.1*$G9)</f>
        <v>0</v>
      </c>
      <c r="J11" s="428"/>
      <c r="K11" s="428"/>
      <c r="L11" s="428"/>
      <c r="M11" s="428"/>
      <c r="N11" s="425">
        <v>42122</v>
      </c>
      <c r="O11" s="198">
        <v>42850</v>
      </c>
      <c r="P11" s="425">
        <v>42850</v>
      </c>
      <c r="Q11" s="198">
        <v>42851</v>
      </c>
      <c r="R11" s="198">
        <v>42850</v>
      </c>
      <c r="S11" s="198">
        <v>42851</v>
      </c>
      <c r="T11" s="198">
        <v>42966</v>
      </c>
      <c r="U11" s="198">
        <v>42992</v>
      </c>
      <c r="V11" s="198"/>
      <c r="W11" s="198"/>
      <c r="X11" s="686"/>
      <c r="Y11" s="665"/>
      <c r="Z11" s="571"/>
      <c r="AA11" s="655"/>
      <c r="AB11" s="553"/>
      <c r="AC11" s="553"/>
      <c r="AD11" s="553"/>
      <c r="AE11" s="668"/>
      <c r="AF11" s="39"/>
      <c r="AG11" s="556"/>
      <c r="AH11" s="581"/>
      <c r="AI11" s="581"/>
      <c r="AJ11" s="574"/>
      <c r="AK11" s="565"/>
      <c r="AL11" s="565"/>
      <c r="AM11" s="565"/>
      <c r="AN11" s="574"/>
      <c r="AO11" s="630"/>
    </row>
    <row r="12" spans="1:41" x14ac:dyDescent="0.35">
      <c r="A12" s="174" t="s">
        <v>87</v>
      </c>
      <c r="B12" s="660" t="s">
        <v>338</v>
      </c>
      <c r="C12" s="691" t="s">
        <v>114</v>
      </c>
      <c r="D12" s="594" t="s">
        <v>166</v>
      </c>
      <c r="E12" s="47">
        <v>710000</v>
      </c>
      <c r="F12" s="566">
        <v>1</v>
      </c>
      <c r="G12" s="566">
        <f>1-F12</f>
        <v>0</v>
      </c>
      <c r="H12" s="34">
        <f>$E12*F12/($F12+1.1*$G12)</f>
        <v>710000</v>
      </c>
      <c r="I12" s="34">
        <f>1.1*G12*$E12/($F12+1.1*$G12)</f>
        <v>0</v>
      </c>
      <c r="J12" s="429"/>
      <c r="K12" s="429"/>
      <c r="L12" s="429"/>
      <c r="M12" s="429"/>
      <c r="N12" s="423">
        <v>40680</v>
      </c>
      <c r="O12" s="38">
        <v>40738</v>
      </c>
      <c r="P12" s="423">
        <v>40759</v>
      </c>
      <c r="Q12" s="38">
        <v>40765</v>
      </c>
      <c r="R12" s="38">
        <v>40756</v>
      </c>
      <c r="S12" s="38">
        <v>40765</v>
      </c>
      <c r="T12" s="38">
        <v>40766</v>
      </c>
      <c r="U12" s="38">
        <v>40793</v>
      </c>
      <c r="V12" s="38">
        <v>40821</v>
      </c>
      <c r="W12" s="38">
        <v>40842</v>
      </c>
      <c r="X12" s="635"/>
      <c r="Y12" s="700"/>
      <c r="Z12" s="690"/>
      <c r="AA12" s="659"/>
      <c r="AB12" s="551"/>
      <c r="AC12" s="551">
        <f>IF(F12=0,IF(G12=0,0,F12*$AB12/($F12+1.1*$G12)),F12*$AB12/($F12+1.1*$G12))</f>
        <v>0</v>
      </c>
      <c r="AD12" s="551">
        <f>IF(F12=0,IF(G12=0,0,1.1*G12*$AB12/($F12+1.1*$G12)),1.1*G12*$AB12/($F12+1.1*$G12))</f>
        <v>0</v>
      </c>
      <c r="AE12" s="659"/>
      <c r="AF12" s="38">
        <v>42027</v>
      </c>
      <c r="AG12" s="704"/>
      <c r="AH12" s="581"/>
      <c r="AI12" s="581"/>
      <c r="AJ12" s="572" t="str">
        <f>IF(AB12=0,"",AG12/AB12)</f>
        <v/>
      </c>
      <c r="AK12" s="563">
        <f>AB12-AG12</f>
        <v>0</v>
      </c>
      <c r="AL12" s="563">
        <f>AC12-AH12</f>
        <v>0</v>
      </c>
      <c r="AM12" s="563">
        <f>AD12-AI12</f>
        <v>0</v>
      </c>
      <c r="AN12" s="572" t="str">
        <f>IF(AB12=0,"",1-AJ12)</f>
        <v/>
      </c>
      <c r="AO12" s="697"/>
    </row>
    <row r="13" spans="1:41" x14ac:dyDescent="0.35">
      <c r="A13" s="175" t="s">
        <v>88</v>
      </c>
      <c r="B13" s="661"/>
      <c r="C13" s="633"/>
      <c r="D13" s="590"/>
      <c r="E13" s="31">
        <v>808000</v>
      </c>
      <c r="F13" s="567"/>
      <c r="G13" s="567"/>
      <c r="H13" s="35">
        <f>$E13*F12/($F12+1.1*$G12)</f>
        <v>808000</v>
      </c>
      <c r="I13" s="35">
        <f>1.1*G12*$E13/($F12+1.1*$G12)</f>
        <v>0</v>
      </c>
      <c r="J13" s="426" t="s">
        <v>113</v>
      </c>
      <c r="K13" s="426" t="s">
        <v>61</v>
      </c>
      <c r="L13" s="426" t="s">
        <v>70</v>
      </c>
      <c r="M13" s="426" t="s">
        <v>46</v>
      </c>
      <c r="N13" s="424"/>
      <c r="O13" s="39"/>
      <c r="P13" s="39"/>
      <c r="Q13" s="39"/>
      <c r="R13" s="39"/>
      <c r="S13" s="39"/>
      <c r="T13" s="39"/>
      <c r="U13" s="39"/>
      <c r="V13" s="39"/>
      <c r="W13" s="39">
        <v>43050</v>
      </c>
      <c r="X13" s="636"/>
      <c r="Y13" s="664"/>
      <c r="Z13" s="664"/>
      <c r="AA13" s="653"/>
      <c r="AB13" s="552"/>
      <c r="AC13" s="552"/>
      <c r="AD13" s="552"/>
      <c r="AE13" s="653"/>
      <c r="AF13" s="39">
        <v>43495</v>
      </c>
      <c r="AG13" s="704"/>
      <c r="AH13" s="581"/>
      <c r="AI13" s="581"/>
      <c r="AJ13" s="573"/>
      <c r="AK13" s="564"/>
      <c r="AL13" s="564"/>
      <c r="AM13" s="564"/>
      <c r="AN13" s="573"/>
      <c r="AO13" s="698"/>
    </row>
    <row r="14" spans="1:41" x14ac:dyDescent="0.35">
      <c r="A14" s="203" t="s">
        <v>89</v>
      </c>
      <c r="B14" s="702"/>
      <c r="C14" s="695"/>
      <c r="D14" s="592"/>
      <c r="E14" s="134"/>
      <c r="F14" s="568"/>
      <c r="G14" s="568"/>
      <c r="H14" s="36">
        <f>$E14*F12/($F12+1.1*$G12)</f>
        <v>0</v>
      </c>
      <c r="I14" s="36">
        <f>1.1*G12*$E14/($F12+1.1*$G12)</f>
        <v>0</v>
      </c>
      <c r="J14" s="427"/>
      <c r="K14" s="427"/>
      <c r="L14" s="427"/>
      <c r="M14" s="427"/>
      <c r="N14" s="204">
        <v>40795</v>
      </c>
      <c r="O14" s="204">
        <v>40904</v>
      </c>
      <c r="P14" s="204">
        <v>41102</v>
      </c>
      <c r="Q14" s="204">
        <v>41348</v>
      </c>
      <c r="R14" s="204">
        <v>40930</v>
      </c>
      <c r="S14" s="204">
        <v>41348</v>
      </c>
      <c r="T14" s="204">
        <v>41423</v>
      </c>
      <c r="U14" s="204">
        <v>41460</v>
      </c>
      <c r="V14" s="204">
        <v>41744</v>
      </c>
      <c r="W14" s="204"/>
      <c r="X14" s="637"/>
      <c r="Y14" s="665"/>
      <c r="Z14" s="701"/>
      <c r="AA14" s="654"/>
      <c r="AB14" s="553"/>
      <c r="AC14" s="553"/>
      <c r="AD14" s="553"/>
      <c r="AE14" s="654"/>
      <c r="AF14" s="39"/>
      <c r="AG14" s="704"/>
      <c r="AH14" s="581"/>
      <c r="AI14" s="581"/>
      <c r="AJ14" s="574"/>
      <c r="AK14" s="565"/>
      <c r="AL14" s="565"/>
      <c r="AM14" s="565"/>
      <c r="AN14" s="574"/>
      <c r="AO14" s="699"/>
    </row>
    <row r="15" spans="1:41" ht="13.15" customHeight="1" x14ac:dyDescent="0.35">
      <c r="A15" s="195" t="s">
        <v>87</v>
      </c>
      <c r="B15" s="660" t="s">
        <v>339</v>
      </c>
      <c r="C15" s="594" t="s">
        <v>274</v>
      </c>
      <c r="D15" s="703" t="s">
        <v>168</v>
      </c>
      <c r="E15" s="33">
        <v>2150000</v>
      </c>
      <c r="F15" s="566">
        <v>2.5000000000000001E-2</v>
      </c>
      <c r="G15" s="566">
        <f>1-F15</f>
        <v>0.97499999999999998</v>
      </c>
      <c r="H15" s="34">
        <v>616800</v>
      </c>
      <c r="I15" s="34">
        <f>1.1*G15*$E15/($F15+1.1*$G15)</f>
        <v>2101025.0569476085</v>
      </c>
      <c r="J15" s="429"/>
      <c r="K15" s="429"/>
      <c r="L15" s="429"/>
      <c r="M15" s="429"/>
      <c r="N15" s="423"/>
      <c r="O15" s="38"/>
      <c r="P15" s="423"/>
      <c r="Q15" s="38"/>
      <c r="R15" s="38"/>
      <c r="S15" s="38"/>
      <c r="T15" s="38"/>
      <c r="U15" s="38"/>
      <c r="V15" s="38"/>
      <c r="W15" s="38"/>
      <c r="X15" s="635">
        <v>40996</v>
      </c>
      <c r="Y15" s="205"/>
      <c r="Z15" s="569" t="s">
        <v>156</v>
      </c>
      <c r="AA15" s="589" t="s">
        <v>157</v>
      </c>
      <c r="AB15" s="551"/>
      <c r="AC15" s="551">
        <f>IF(F15=0,IF(G15=0,0,F15*$AB15/($F15+1.1*$G15)),F15*$AB15/($F15+1.1*$G15))</f>
        <v>0</v>
      </c>
      <c r="AD15" s="551">
        <f>IF(F15=0,IF(G15=0,0,1.1*G15*$AB15/($F15+1.1*$G15)),1.1*G15*$AB15/($F15+1.1*$G15))</f>
        <v>0</v>
      </c>
      <c r="AE15" s="652" t="s">
        <v>682</v>
      </c>
      <c r="AF15" s="38">
        <v>42398</v>
      </c>
      <c r="AG15" s="581"/>
      <c r="AH15" s="696"/>
      <c r="AI15" s="696"/>
      <c r="AJ15" s="572" t="str">
        <f>IF(AB15=0,"",AG15/AB15)</f>
        <v/>
      </c>
      <c r="AK15" s="563">
        <f>AB15-AG15</f>
        <v>0</v>
      </c>
      <c r="AL15" s="563">
        <f>AC15-AH15</f>
        <v>0</v>
      </c>
      <c r="AM15" s="563">
        <f>AD15-AI15</f>
        <v>0</v>
      </c>
      <c r="AN15" s="572" t="str">
        <f>IF(AB15=0,"",1-AJ15)</f>
        <v/>
      </c>
      <c r="AO15" s="628"/>
    </row>
    <row r="16" spans="1:41" x14ac:dyDescent="0.35">
      <c r="A16" s="196" t="s">
        <v>88</v>
      </c>
      <c r="B16" s="661"/>
      <c r="C16" s="633"/>
      <c r="D16" s="579"/>
      <c r="E16" s="31"/>
      <c r="F16" s="567"/>
      <c r="G16" s="567"/>
      <c r="H16" s="35">
        <f>$E16*F15/($F15+1.1*$G15)</f>
        <v>0</v>
      </c>
      <c r="I16" s="35">
        <f>1.1*G15*$E16/($F15+1.1*$G15)</f>
        <v>0</v>
      </c>
      <c r="J16" s="426" t="s">
        <v>113</v>
      </c>
      <c r="K16" s="426" t="s">
        <v>61</v>
      </c>
      <c r="L16" s="426" t="s">
        <v>70</v>
      </c>
      <c r="M16" s="426" t="s">
        <v>46</v>
      </c>
      <c r="N16" s="424"/>
      <c r="O16" s="39"/>
      <c r="P16" s="424"/>
      <c r="Q16" s="39"/>
      <c r="R16" s="39"/>
      <c r="S16" s="39"/>
      <c r="T16" s="39"/>
      <c r="U16" s="39"/>
      <c r="V16" s="39"/>
      <c r="W16" s="39"/>
      <c r="X16" s="636"/>
      <c r="Y16" s="349"/>
      <c r="Z16" s="570"/>
      <c r="AA16" s="590"/>
      <c r="AB16" s="552"/>
      <c r="AC16" s="552"/>
      <c r="AD16" s="552"/>
      <c r="AE16" s="653"/>
      <c r="AF16" s="39">
        <v>43565</v>
      </c>
      <c r="AG16" s="581"/>
      <c r="AH16" s="696"/>
      <c r="AI16" s="696"/>
      <c r="AJ16" s="573"/>
      <c r="AK16" s="564"/>
      <c r="AL16" s="564"/>
      <c r="AM16" s="564"/>
      <c r="AN16" s="573"/>
      <c r="AO16" s="629"/>
    </row>
    <row r="17" spans="1:41" ht="38.25" x14ac:dyDescent="0.35">
      <c r="A17" s="196" t="s">
        <v>89</v>
      </c>
      <c r="B17" s="702"/>
      <c r="C17" s="695"/>
      <c r="D17" s="579"/>
      <c r="E17" s="134">
        <f>((57760.86+59750.38)*2049.6+1113993198.47+1858316337.89)/1507.5</f>
        <v>2131449.8002414596</v>
      </c>
      <c r="F17" s="567"/>
      <c r="G17" s="567"/>
      <c r="H17" s="35">
        <f>$E17*F15/($F15+1.1*$G15)</f>
        <v>48552.387249235988</v>
      </c>
      <c r="I17" s="35">
        <f>1.1*G15*$E17/($F15+1.1*$G15)</f>
        <v>2082897.4129922239</v>
      </c>
      <c r="J17" s="427"/>
      <c r="K17" s="427"/>
      <c r="L17" s="427"/>
      <c r="M17" s="427"/>
      <c r="N17" s="430"/>
      <c r="O17" s="204"/>
      <c r="P17" s="430"/>
      <c r="Q17" s="204"/>
      <c r="R17" s="204"/>
      <c r="S17" s="204"/>
      <c r="T17" s="204"/>
      <c r="U17" s="204"/>
      <c r="V17" s="204"/>
      <c r="W17" s="204"/>
      <c r="X17" s="680"/>
      <c r="Y17" s="206" t="s">
        <v>288</v>
      </c>
      <c r="Z17" s="596"/>
      <c r="AA17" s="591"/>
      <c r="AB17" s="552"/>
      <c r="AC17" s="552"/>
      <c r="AD17" s="552"/>
      <c r="AE17" s="654"/>
      <c r="AF17" s="39"/>
      <c r="AG17" s="581"/>
      <c r="AH17" s="696"/>
      <c r="AI17" s="696"/>
      <c r="AJ17" s="573"/>
      <c r="AK17" s="564"/>
      <c r="AL17" s="564"/>
      <c r="AM17" s="564"/>
      <c r="AN17" s="573"/>
      <c r="AO17" s="629"/>
    </row>
    <row r="18" spans="1:41" ht="38.25" x14ac:dyDescent="0.35">
      <c r="A18" s="197" t="s">
        <v>481</v>
      </c>
      <c r="B18" s="662"/>
      <c r="C18" s="634"/>
      <c r="D18" s="580"/>
      <c r="E18" s="32">
        <v>2858042</v>
      </c>
      <c r="F18" s="568"/>
      <c r="G18" s="568"/>
      <c r="H18" s="36">
        <f>$E18*F15/($F15+1.1*$G15)</f>
        <v>65103.462414578593</v>
      </c>
      <c r="I18" s="36">
        <f>1.1*G15*$E18/($F15+1.1*$G15)</f>
        <v>2792938.5375854215</v>
      </c>
      <c r="J18" s="428"/>
      <c r="K18" s="428"/>
      <c r="L18" s="428"/>
      <c r="M18" s="428"/>
      <c r="N18" s="425">
        <v>40584</v>
      </c>
      <c r="O18" s="425">
        <v>40759</v>
      </c>
      <c r="P18" s="425">
        <v>40767</v>
      </c>
      <c r="Q18" s="425">
        <v>40793</v>
      </c>
      <c r="R18" s="425">
        <v>40774</v>
      </c>
      <c r="S18" s="425">
        <v>40793</v>
      </c>
      <c r="T18" s="425">
        <v>40794</v>
      </c>
      <c r="U18" s="425">
        <v>40828</v>
      </c>
      <c r="V18" s="425">
        <v>40851</v>
      </c>
      <c r="W18" s="425">
        <v>40885</v>
      </c>
      <c r="X18" s="637"/>
      <c r="Y18" s="376" t="s">
        <v>645</v>
      </c>
      <c r="Z18" s="571"/>
      <c r="AA18" s="592"/>
      <c r="AB18" s="553"/>
      <c r="AC18" s="553"/>
      <c r="AD18" s="553"/>
      <c r="AE18" s="655"/>
      <c r="AF18" s="39"/>
      <c r="AG18" s="581"/>
      <c r="AH18" s="696"/>
      <c r="AI18" s="696"/>
      <c r="AJ18" s="574"/>
      <c r="AK18" s="565"/>
      <c r="AL18" s="565"/>
      <c r="AM18" s="565"/>
      <c r="AN18" s="574"/>
      <c r="AO18" s="630"/>
    </row>
    <row r="19" spans="1:41" x14ac:dyDescent="0.35">
      <c r="A19" s="195" t="s">
        <v>87</v>
      </c>
      <c r="B19" s="660" t="s">
        <v>340</v>
      </c>
      <c r="C19" s="691" t="s">
        <v>115</v>
      </c>
      <c r="D19" s="692" t="s">
        <v>584</v>
      </c>
      <c r="E19" s="33">
        <v>600000</v>
      </c>
      <c r="F19" s="566">
        <v>0.05</v>
      </c>
      <c r="G19" s="566">
        <f>1-F19</f>
        <v>0.95</v>
      </c>
      <c r="H19" s="33"/>
      <c r="I19" s="33"/>
      <c r="J19" s="429"/>
      <c r="K19" s="429"/>
      <c r="L19" s="429"/>
      <c r="M19" s="429"/>
      <c r="N19" s="423"/>
      <c r="O19" s="38"/>
      <c r="P19" s="423"/>
      <c r="Q19" s="38"/>
      <c r="R19" s="38"/>
      <c r="S19" s="38"/>
      <c r="T19" s="38"/>
      <c r="U19" s="38"/>
      <c r="V19" s="38"/>
      <c r="W19" s="38"/>
      <c r="X19" s="635"/>
      <c r="Y19" s="690"/>
      <c r="Z19" s="690"/>
      <c r="AA19" s="659"/>
      <c r="AB19" s="551"/>
      <c r="AC19" s="551"/>
      <c r="AD19" s="551"/>
      <c r="AE19" s="659"/>
      <c r="AF19" s="38"/>
      <c r="AG19" s="656"/>
      <c r="AH19" s="581"/>
      <c r="AI19" s="581"/>
      <c r="AJ19" s="572" t="str">
        <f>IF(AB19=0,"",AG19/AB19)</f>
        <v/>
      </c>
      <c r="AK19" s="563"/>
      <c r="AL19" s="563"/>
      <c r="AM19" s="563"/>
      <c r="AN19" s="572" t="str">
        <f>IF(AB19=0,"",1-AJ19)</f>
        <v/>
      </c>
      <c r="AO19" s="628"/>
    </row>
    <row r="20" spans="1:41" x14ac:dyDescent="0.35">
      <c r="A20" s="196" t="s">
        <v>88</v>
      </c>
      <c r="B20" s="661"/>
      <c r="C20" s="633"/>
      <c r="D20" s="693"/>
      <c r="E20" s="31"/>
      <c r="F20" s="567"/>
      <c r="G20" s="567"/>
      <c r="H20" s="31"/>
      <c r="I20" s="31"/>
      <c r="J20" s="426" t="s">
        <v>113</v>
      </c>
      <c r="K20" s="426" t="s">
        <v>61</v>
      </c>
      <c r="L20" s="426" t="s">
        <v>70</v>
      </c>
      <c r="M20" s="426" t="s">
        <v>46</v>
      </c>
      <c r="N20" s="424"/>
      <c r="O20" s="39"/>
      <c r="P20" s="424"/>
      <c r="Q20" s="39"/>
      <c r="R20" s="39"/>
      <c r="S20" s="39"/>
      <c r="T20" s="39"/>
      <c r="U20" s="39"/>
      <c r="V20" s="39"/>
      <c r="W20" s="39"/>
      <c r="X20" s="636"/>
      <c r="Y20" s="664"/>
      <c r="Z20" s="664"/>
      <c r="AA20" s="653"/>
      <c r="AB20" s="552"/>
      <c r="AC20" s="552"/>
      <c r="AD20" s="552"/>
      <c r="AE20" s="653"/>
      <c r="AF20" s="39"/>
      <c r="AG20" s="657"/>
      <c r="AH20" s="581"/>
      <c r="AI20" s="581"/>
      <c r="AJ20" s="573"/>
      <c r="AK20" s="564"/>
      <c r="AL20" s="564"/>
      <c r="AM20" s="564"/>
      <c r="AN20" s="573"/>
      <c r="AO20" s="629"/>
    </row>
    <row r="21" spans="1:41" x14ac:dyDescent="0.35">
      <c r="A21" s="197" t="s">
        <v>89</v>
      </c>
      <c r="B21" s="662"/>
      <c r="C21" s="634"/>
      <c r="D21" s="694"/>
      <c r="E21" s="32"/>
      <c r="F21" s="568"/>
      <c r="G21" s="568"/>
      <c r="H21" s="32"/>
      <c r="I21" s="32"/>
      <c r="J21" s="428"/>
      <c r="K21" s="428"/>
      <c r="L21" s="428"/>
      <c r="M21" s="428"/>
      <c r="N21" s="425"/>
      <c r="O21" s="198"/>
      <c r="P21" s="425"/>
      <c r="Q21" s="198"/>
      <c r="R21" s="198"/>
      <c r="S21" s="198"/>
      <c r="T21" s="198"/>
      <c r="U21" s="198"/>
      <c r="V21" s="198"/>
      <c r="W21" s="198"/>
      <c r="X21" s="637"/>
      <c r="Y21" s="665"/>
      <c r="Z21" s="665"/>
      <c r="AA21" s="655"/>
      <c r="AB21" s="553"/>
      <c r="AC21" s="553"/>
      <c r="AD21" s="553"/>
      <c r="AE21" s="655"/>
      <c r="AF21" s="39"/>
      <c r="AG21" s="658"/>
      <c r="AH21" s="581"/>
      <c r="AI21" s="581"/>
      <c r="AJ21" s="574"/>
      <c r="AK21" s="565"/>
      <c r="AL21" s="565"/>
      <c r="AM21" s="565"/>
      <c r="AN21" s="574"/>
      <c r="AO21" s="630"/>
    </row>
    <row r="22" spans="1:41" x14ac:dyDescent="0.35">
      <c r="A22" s="195" t="s">
        <v>87</v>
      </c>
      <c r="B22" s="651" t="s">
        <v>341</v>
      </c>
      <c r="C22" s="594" t="s">
        <v>146</v>
      </c>
      <c r="D22" s="593" t="s">
        <v>147</v>
      </c>
      <c r="E22" s="33">
        <v>55000</v>
      </c>
      <c r="F22" s="566">
        <v>0.66</v>
      </c>
      <c r="G22" s="566">
        <f>1-F22</f>
        <v>0.33999999999999997</v>
      </c>
      <c r="H22" s="34">
        <f>$E22*F22/($F22+1.1*$G22)</f>
        <v>35106.382978723406</v>
      </c>
      <c r="I22" s="34">
        <f>1.1*G22*$E22/($F22+1.1*$G22)</f>
        <v>19893.617021276594</v>
      </c>
      <c r="J22" s="429"/>
      <c r="K22" s="429"/>
      <c r="L22" s="429"/>
      <c r="M22" s="429"/>
      <c r="N22" s="423"/>
      <c r="O22" s="38"/>
      <c r="P22" s="423"/>
      <c r="Q22" s="38"/>
      <c r="R22" s="38"/>
      <c r="S22" s="38"/>
      <c r="T22" s="38"/>
      <c r="U22" s="38"/>
      <c r="V22" s="38"/>
      <c r="W22" s="38"/>
      <c r="X22" s="635">
        <v>40859</v>
      </c>
      <c r="Y22" s="648">
        <v>81400000</v>
      </c>
      <c r="Z22" s="207" t="s">
        <v>149</v>
      </c>
      <c r="AA22" s="208" t="s">
        <v>150</v>
      </c>
      <c r="AB22" s="551"/>
      <c r="AC22" s="551">
        <f>IF(F22=0,IF(G22=0,0,F22*$AB22/($F22+1.1*$G22)),F22*$AB22/($F22+1.1*$G22))</f>
        <v>0</v>
      </c>
      <c r="AD22" s="551">
        <f>IF(F22=0,IF(G22=0,0,1.1*G22*$AB22/($F22+1.1*$G22)),1.1*G22*$AB22/($F22+1.1*$G22))</f>
        <v>0</v>
      </c>
      <c r="AE22" s="647" t="s">
        <v>151</v>
      </c>
      <c r="AF22" s="38">
        <v>40865</v>
      </c>
      <c r="AG22" s="581"/>
      <c r="AH22" s="581"/>
      <c r="AI22" s="581"/>
      <c r="AJ22" s="572" t="str">
        <f>IF(AB22=0,"",AG22/AB22)</f>
        <v/>
      </c>
      <c r="AK22" s="563">
        <f>AB22-AG22</f>
        <v>0</v>
      </c>
      <c r="AL22" s="563">
        <f>AC22-AH22</f>
        <v>0</v>
      </c>
      <c r="AM22" s="563">
        <f>AD22-AI22</f>
        <v>0</v>
      </c>
      <c r="AN22" s="572" t="str">
        <f>IF(AB22=0,"",1-AJ22)</f>
        <v/>
      </c>
      <c r="AO22" s="628"/>
    </row>
    <row r="23" spans="1:41" x14ac:dyDescent="0.35">
      <c r="A23" s="196" t="s">
        <v>88</v>
      </c>
      <c r="B23" s="632"/>
      <c r="C23" s="633"/>
      <c r="D23" s="590"/>
      <c r="E23" s="31"/>
      <c r="F23" s="567"/>
      <c r="G23" s="567"/>
      <c r="H23" s="35">
        <f>$E23*F22/($F22+1.1*$G22)</f>
        <v>0</v>
      </c>
      <c r="I23" s="35">
        <f>1.1*G22*$E23/($F22+1.1*$G22)</f>
        <v>0</v>
      </c>
      <c r="J23" s="426" t="s">
        <v>113</v>
      </c>
      <c r="K23" s="426" t="s">
        <v>61</v>
      </c>
      <c r="L23" s="426" t="s">
        <v>70</v>
      </c>
      <c r="M23" s="209" t="s">
        <v>148</v>
      </c>
      <c r="N23" s="424"/>
      <c r="O23" s="39"/>
      <c r="P23" s="424"/>
      <c r="Q23" s="39"/>
      <c r="R23" s="39"/>
      <c r="S23" s="39"/>
      <c r="T23" s="39"/>
      <c r="U23" s="39"/>
      <c r="V23" s="39"/>
      <c r="W23" s="39" t="s">
        <v>301</v>
      </c>
      <c r="X23" s="636"/>
      <c r="Y23" s="649"/>
      <c r="Z23" s="210"/>
      <c r="AA23" s="211"/>
      <c r="AB23" s="552"/>
      <c r="AC23" s="552"/>
      <c r="AD23" s="552"/>
      <c r="AE23" s="642"/>
      <c r="AF23" s="39"/>
      <c r="AG23" s="581"/>
      <c r="AH23" s="581"/>
      <c r="AI23" s="581"/>
      <c r="AJ23" s="573"/>
      <c r="AK23" s="564"/>
      <c r="AL23" s="564"/>
      <c r="AM23" s="564"/>
      <c r="AN23" s="573"/>
      <c r="AO23" s="629"/>
    </row>
    <row r="24" spans="1:41" ht="24.75" customHeight="1" x14ac:dyDescent="0.35">
      <c r="A24" s="197" t="s">
        <v>89</v>
      </c>
      <c r="B24" s="632"/>
      <c r="C24" s="634"/>
      <c r="D24" s="592"/>
      <c r="E24" s="32"/>
      <c r="F24" s="568"/>
      <c r="G24" s="568"/>
      <c r="H24" s="36">
        <f>$E24*F22/($F22+1.1*$G22)</f>
        <v>0</v>
      </c>
      <c r="I24" s="36">
        <f>1.1*G22*$E24/($F22+1.1*$G22)</f>
        <v>0</v>
      </c>
      <c r="J24" s="428"/>
      <c r="K24" s="428"/>
      <c r="L24" s="428"/>
      <c r="M24" s="428"/>
      <c r="N24" s="425">
        <v>40694</v>
      </c>
      <c r="O24" s="198">
        <v>40616</v>
      </c>
      <c r="P24" s="425">
        <v>40647</v>
      </c>
      <c r="Q24" s="198">
        <v>40649</v>
      </c>
      <c r="R24" s="198">
        <v>40649</v>
      </c>
      <c r="S24" s="198">
        <v>40649</v>
      </c>
      <c r="T24" s="198">
        <v>40791</v>
      </c>
      <c r="U24" s="198">
        <v>40812</v>
      </c>
      <c r="V24" s="198">
        <v>40821</v>
      </c>
      <c r="W24" s="198">
        <v>41674</v>
      </c>
      <c r="X24" s="637"/>
      <c r="Y24" s="650"/>
      <c r="Z24" s="212"/>
      <c r="AA24" s="213"/>
      <c r="AB24" s="553"/>
      <c r="AC24" s="553"/>
      <c r="AD24" s="553"/>
      <c r="AE24" s="643"/>
      <c r="AF24" s="39">
        <v>40951</v>
      </c>
      <c r="AG24" s="581"/>
      <c r="AH24" s="581"/>
      <c r="AI24" s="581"/>
      <c r="AJ24" s="574"/>
      <c r="AK24" s="565"/>
      <c r="AL24" s="565"/>
      <c r="AM24" s="565"/>
      <c r="AN24" s="574"/>
      <c r="AO24" s="630"/>
    </row>
    <row r="25" spans="1:41" x14ac:dyDescent="0.35">
      <c r="A25" s="195" t="s">
        <v>87</v>
      </c>
      <c r="B25" s="651" t="s">
        <v>342</v>
      </c>
      <c r="C25" s="594" t="s">
        <v>294</v>
      </c>
      <c r="D25" s="594" t="s">
        <v>392</v>
      </c>
      <c r="E25" s="33">
        <v>25000</v>
      </c>
      <c r="F25" s="566">
        <v>0.66</v>
      </c>
      <c r="G25" s="566">
        <f>1-F25</f>
        <v>0.33999999999999997</v>
      </c>
      <c r="H25" s="34">
        <f>$E25*F25/($F25+1.1*$G25)</f>
        <v>15957.446808510638</v>
      </c>
      <c r="I25" s="34">
        <f>1.1*G25*$E25/($F25+1.1*$G25)</f>
        <v>9042.5531914893618</v>
      </c>
      <c r="J25" s="429"/>
      <c r="K25" s="429"/>
      <c r="L25" s="429"/>
      <c r="M25" s="429"/>
      <c r="N25" s="423">
        <v>41704</v>
      </c>
      <c r="O25" s="38">
        <v>41680</v>
      </c>
      <c r="P25" s="423">
        <v>41680</v>
      </c>
      <c r="Q25" s="38">
        <v>41690</v>
      </c>
      <c r="R25" s="38">
        <v>41723</v>
      </c>
      <c r="S25" s="38">
        <v>41690</v>
      </c>
      <c r="T25" s="38">
        <v>41732</v>
      </c>
      <c r="U25" s="38">
        <v>41751</v>
      </c>
      <c r="V25" s="38">
        <v>41761</v>
      </c>
      <c r="W25" s="38">
        <v>41768</v>
      </c>
      <c r="X25" s="635">
        <v>41793</v>
      </c>
      <c r="Y25" s="638">
        <f>3800*0.34*1.1+3800*0.66</f>
        <v>3929.2</v>
      </c>
      <c r="Z25" s="644" t="s">
        <v>315</v>
      </c>
      <c r="AA25" s="214"/>
      <c r="AB25" s="551"/>
      <c r="AC25" s="551">
        <f>IF(F25=0,IF(G25=0,0,F25*$AB25/($F25+1.1*$G25)),F25*$AB25/($F25+1.1*$G25))</f>
        <v>0</v>
      </c>
      <c r="AD25" s="551">
        <f>IF(F25=0,IF(G25=0,0,1.1*G25*$AB25/($F25+1.1*$G25)),1.1*G25*$AB25/($F25+1.1*$G25))</f>
        <v>0</v>
      </c>
      <c r="AE25" s="641" t="s">
        <v>683</v>
      </c>
      <c r="AF25" s="38">
        <v>41804</v>
      </c>
      <c r="AG25" s="581"/>
      <c r="AH25" s="581"/>
      <c r="AI25" s="581"/>
      <c r="AJ25" s="572" t="str">
        <f>IF(AB25=0,"",AG25/AB25)</f>
        <v/>
      </c>
      <c r="AK25" s="563">
        <f>AB25-AG25</f>
        <v>0</v>
      </c>
      <c r="AL25" s="563">
        <f>AC25-AH25</f>
        <v>0</v>
      </c>
      <c r="AM25" s="563">
        <f>AD25-AI25</f>
        <v>0</v>
      </c>
      <c r="AN25" s="572" t="str">
        <f>IF(AB25=0,"",1-AJ25)</f>
        <v/>
      </c>
      <c r="AO25" s="628"/>
    </row>
    <row r="26" spans="1:41" x14ac:dyDescent="0.35">
      <c r="A26" s="196" t="s">
        <v>88</v>
      </c>
      <c r="B26" s="632"/>
      <c r="C26" s="633"/>
      <c r="D26" s="590"/>
      <c r="E26" s="31"/>
      <c r="F26" s="567"/>
      <c r="G26" s="567"/>
      <c r="H26" s="35">
        <f>$E26*F25/($F25+1.1*$G25)</f>
        <v>0</v>
      </c>
      <c r="I26" s="35">
        <f>1.1*G25*$E26/($F25+1.1*$G25)</f>
        <v>0</v>
      </c>
      <c r="J26" s="426" t="s">
        <v>113</v>
      </c>
      <c r="K26" s="426" t="s">
        <v>62</v>
      </c>
      <c r="L26" s="426" t="s">
        <v>70</v>
      </c>
      <c r="M26" s="209" t="s">
        <v>148</v>
      </c>
      <c r="N26" s="424"/>
      <c r="O26" s="39"/>
      <c r="P26" s="424"/>
      <c r="Q26" s="39"/>
      <c r="R26" s="39"/>
      <c r="S26" s="39"/>
      <c r="T26" s="39"/>
      <c r="U26" s="39"/>
      <c r="V26" s="39"/>
      <c r="W26" s="39"/>
      <c r="X26" s="636"/>
      <c r="Y26" s="639"/>
      <c r="Z26" s="645"/>
      <c r="AA26" s="211"/>
      <c r="AB26" s="552"/>
      <c r="AC26" s="552"/>
      <c r="AD26" s="552"/>
      <c r="AE26" s="642"/>
      <c r="AF26" s="39"/>
      <c r="AG26" s="581"/>
      <c r="AH26" s="581"/>
      <c r="AI26" s="581"/>
      <c r="AJ26" s="573"/>
      <c r="AK26" s="564"/>
      <c r="AL26" s="564"/>
      <c r="AM26" s="564"/>
      <c r="AN26" s="573"/>
      <c r="AO26" s="629"/>
    </row>
    <row r="27" spans="1:41" x14ac:dyDescent="0.35">
      <c r="A27" s="197" t="s">
        <v>89</v>
      </c>
      <c r="B27" s="632"/>
      <c r="C27" s="634"/>
      <c r="D27" s="592"/>
      <c r="E27" s="32">
        <v>3929.2</v>
      </c>
      <c r="F27" s="568"/>
      <c r="G27" s="568"/>
      <c r="H27" s="36">
        <f>$E27*F25/($F25+1.1*$G25)</f>
        <v>2508</v>
      </c>
      <c r="I27" s="36">
        <f>1.1*G25*$E27/($F25+1.1*$G25)</f>
        <v>1421.2</v>
      </c>
      <c r="J27" s="428"/>
      <c r="K27" s="428"/>
      <c r="L27" s="428"/>
      <c r="M27" s="428"/>
      <c r="N27" s="425"/>
      <c r="O27" s="198">
        <v>41680</v>
      </c>
      <c r="P27" s="425">
        <v>41680</v>
      </c>
      <c r="Q27" s="198">
        <v>41761</v>
      </c>
      <c r="R27" s="198">
        <v>41761</v>
      </c>
      <c r="S27" s="198">
        <v>41761</v>
      </c>
      <c r="T27" s="198">
        <v>41778</v>
      </c>
      <c r="U27" s="198">
        <v>41792</v>
      </c>
      <c r="V27" s="198">
        <v>41793</v>
      </c>
      <c r="W27" s="198">
        <v>41801</v>
      </c>
      <c r="X27" s="637"/>
      <c r="Y27" s="640"/>
      <c r="Z27" s="646"/>
      <c r="AA27" s="211"/>
      <c r="AB27" s="553"/>
      <c r="AC27" s="553"/>
      <c r="AD27" s="553"/>
      <c r="AE27" s="643"/>
      <c r="AF27" s="39">
        <v>41820</v>
      </c>
      <c r="AG27" s="581"/>
      <c r="AH27" s="581"/>
      <c r="AI27" s="581"/>
      <c r="AJ27" s="574"/>
      <c r="AK27" s="565"/>
      <c r="AL27" s="565"/>
      <c r="AM27" s="565"/>
      <c r="AN27" s="574"/>
      <c r="AO27" s="630"/>
    </row>
    <row r="28" spans="1:41" x14ac:dyDescent="0.35">
      <c r="A28" s="195" t="s">
        <v>87</v>
      </c>
      <c r="B28" s="651" t="s">
        <v>343</v>
      </c>
      <c r="C28" s="691" t="s">
        <v>116</v>
      </c>
      <c r="D28" s="589" t="s">
        <v>119</v>
      </c>
      <c r="E28" s="33"/>
      <c r="F28" s="33"/>
      <c r="G28" s="33"/>
      <c r="H28" s="33"/>
      <c r="I28" s="33"/>
      <c r="J28" s="429"/>
      <c r="K28" s="429"/>
      <c r="L28" s="429"/>
      <c r="M28" s="429"/>
      <c r="N28" s="423"/>
      <c r="O28" s="38"/>
      <c r="P28" s="423"/>
      <c r="Q28" s="38"/>
      <c r="R28" s="38"/>
      <c r="S28" s="38"/>
      <c r="T28" s="38"/>
      <c r="U28" s="38"/>
      <c r="V28" s="38"/>
      <c r="W28" s="38"/>
      <c r="X28" s="635"/>
      <c r="Y28" s="690"/>
      <c r="Z28" s="690"/>
      <c r="AA28" s="659"/>
      <c r="AB28" s="551"/>
      <c r="AC28" s="551"/>
      <c r="AD28" s="551"/>
      <c r="AE28" s="659"/>
      <c r="AF28" s="38"/>
      <c r="AG28" s="656"/>
      <c r="AH28" s="581"/>
      <c r="AI28" s="581"/>
      <c r="AJ28" s="572" t="str">
        <f>IF(AB28=0,"",AG28/AB28)</f>
        <v/>
      </c>
      <c r="AK28" s="563">
        <f>AB28-AG28</f>
        <v>0</v>
      </c>
      <c r="AL28" s="563">
        <f>AC28-AH28</f>
        <v>0</v>
      </c>
      <c r="AM28" s="563">
        <f>AD28-AI28</f>
        <v>0</v>
      </c>
      <c r="AN28" s="572" t="str">
        <f>IF(AB28=0,"",1-AJ28)</f>
        <v/>
      </c>
      <c r="AO28" s="628"/>
    </row>
    <row r="29" spans="1:41" x14ac:dyDescent="0.35">
      <c r="A29" s="196" t="s">
        <v>88</v>
      </c>
      <c r="B29" s="632"/>
      <c r="C29" s="633"/>
      <c r="D29" s="590"/>
      <c r="E29" s="31"/>
      <c r="F29" s="31"/>
      <c r="G29" s="31"/>
      <c r="H29" s="31"/>
      <c r="I29" s="31"/>
      <c r="J29" s="426" t="s">
        <v>113</v>
      </c>
      <c r="K29" s="426" t="s">
        <v>61</v>
      </c>
      <c r="L29" s="426" t="s">
        <v>70</v>
      </c>
      <c r="M29" s="426" t="s">
        <v>117</v>
      </c>
      <c r="N29" s="424"/>
      <c r="O29" s="39"/>
      <c r="P29" s="424"/>
      <c r="Q29" s="39"/>
      <c r="R29" s="39"/>
      <c r="S29" s="39"/>
      <c r="T29" s="39"/>
      <c r="U29" s="39"/>
      <c r="V29" s="39"/>
      <c r="W29" s="39"/>
      <c r="X29" s="636"/>
      <c r="Y29" s="664"/>
      <c r="Z29" s="664"/>
      <c r="AA29" s="653"/>
      <c r="AB29" s="552"/>
      <c r="AC29" s="552"/>
      <c r="AD29" s="552"/>
      <c r="AE29" s="653"/>
      <c r="AF29" s="39"/>
      <c r="AG29" s="657"/>
      <c r="AH29" s="581"/>
      <c r="AI29" s="581"/>
      <c r="AJ29" s="573"/>
      <c r="AK29" s="564"/>
      <c r="AL29" s="564"/>
      <c r="AM29" s="564"/>
      <c r="AN29" s="573"/>
      <c r="AO29" s="629"/>
    </row>
    <row r="30" spans="1:41" x14ac:dyDescent="0.35">
      <c r="A30" s="197" t="s">
        <v>89</v>
      </c>
      <c r="B30" s="632"/>
      <c r="C30" s="634"/>
      <c r="D30" s="592"/>
      <c r="E30" s="32"/>
      <c r="F30" s="32"/>
      <c r="G30" s="32"/>
      <c r="H30" s="32"/>
      <c r="I30" s="32"/>
      <c r="J30" s="428"/>
      <c r="K30" s="428"/>
      <c r="L30" s="428"/>
      <c r="M30" s="428"/>
      <c r="N30" s="425"/>
      <c r="O30" s="198"/>
      <c r="P30" s="425"/>
      <c r="Q30" s="198"/>
      <c r="R30" s="198"/>
      <c r="S30" s="198"/>
      <c r="T30" s="198"/>
      <c r="U30" s="198"/>
      <c r="V30" s="198"/>
      <c r="W30" s="198"/>
      <c r="X30" s="637"/>
      <c r="Y30" s="665"/>
      <c r="Z30" s="665"/>
      <c r="AA30" s="655"/>
      <c r="AB30" s="553"/>
      <c r="AC30" s="553"/>
      <c r="AD30" s="553"/>
      <c r="AE30" s="655"/>
      <c r="AF30" s="198"/>
      <c r="AG30" s="658"/>
      <c r="AH30" s="581"/>
      <c r="AI30" s="581"/>
      <c r="AJ30" s="574"/>
      <c r="AK30" s="565"/>
      <c r="AL30" s="565"/>
      <c r="AM30" s="565"/>
      <c r="AN30" s="574"/>
      <c r="AO30" s="630"/>
    </row>
    <row r="31" spans="1:41" x14ac:dyDescent="0.35">
      <c r="A31" s="195" t="s">
        <v>87</v>
      </c>
      <c r="B31" s="631" t="s">
        <v>394</v>
      </c>
      <c r="C31" s="594" t="s">
        <v>393</v>
      </c>
      <c r="D31" s="610" t="s">
        <v>492</v>
      </c>
      <c r="E31" s="33"/>
      <c r="F31" s="566">
        <v>0.66</v>
      </c>
      <c r="G31" s="566">
        <f>1-F31</f>
        <v>0.33999999999999997</v>
      </c>
      <c r="H31" s="34">
        <f>$E31*F31/($F31+1.1*$G31)</f>
        <v>0</v>
      </c>
      <c r="I31" s="34">
        <f>1.1*G31*$E31/($F31+1.1*$G31)</f>
        <v>0</v>
      </c>
      <c r="J31" s="429"/>
      <c r="K31" s="429"/>
      <c r="L31" s="429"/>
      <c r="M31" s="429"/>
      <c r="N31" s="423"/>
      <c r="O31" s="38">
        <v>42019</v>
      </c>
      <c r="P31" s="423">
        <v>42019</v>
      </c>
      <c r="Q31" s="38">
        <v>42026</v>
      </c>
      <c r="R31" s="38">
        <v>42019</v>
      </c>
      <c r="S31" s="38">
        <v>42026</v>
      </c>
      <c r="T31" s="38">
        <v>42040</v>
      </c>
      <c r="U31" s="38">
        <v>42061</v>
      </c>
      <c r="V31" s="38">
        <v>42068</v>
      </c>
      <c r="W31" s="38">
        <v>42082</v>
      </c>
      <c r="X31" s="635"/>
      <c r="Y31" s="638"/>
      <c r="Z31" s="644" t="s">
        <v>315</v>
      </c>
      <c r="AA31" s="214"/>
      <c r="AB31" s="551"/>
      <c r="AC31" s="551"/>
      <c r="AD31" s="551"/>
      <c r="AE31" s="641" t="s">
        <v>683</v>
      </c>
      <c r="AF31" s="38">
        <v>42124</v>
      </c>
      <c r="AG31" s="581"/>
      <c r="AH31" s="581"/>
      <c r="AI31" s="581">
        <f>AD31</f>
        <v>0</v>
      </c>
      <c r="AJ31" s="572" t="str">
        <f>IF(AB31=0,"",AG31/AB31)</f>
        <v/>
      </c>
      <c r="AK31" s="563">
        <f>AB31-AG31</f>
        <v>0</v>
      </c>
      <c r="AL31" s="563">
        <f>AC31-AH31</f>
        <v>0</v>
      </c>
      <c r="AM31" s="563">
        <f>AD31-AI31</f>
        <v>0</v>
      </c>
      <c r="AN31" s="572" t="str">
        <f>IF(AB31=0,"",1-AJ31)</f>
        <v/>
      </c>
      <c r="AO31" s="628"/>
    </row>
    <row r="32" spans="1:41" x14ac:dyDescent="0.35">
      <c r="A32" s="196" t="s">
        <v>88</v>
      </c>
      <c r="B32" s="632"/>
      <c r="C32" s="633"/>
      <c r="D32" s="590"/>
      <c r="E32" s="31"/>
      <c r="F32" s="567"/>
      <c r="G32" s="567"/>
      <c r="H32" s="35">
        <f>$E32*F31/($F31+1.1*$G31)</f>
        <v>0</v>
      </c>
      <c r="I32" s="35">
        <f>1.1*G31*$E32/($F31+1.1*$G31)</f>
        <v>0</v>
      </c>
      <c r="J32" s="426" t="s">
        <v>113</v>
      </c>
      <c r="K32" s="426" t="s">
        <v>62</v>
      </c>
      <c r="L32" s="426" t="s">
        <v>70</v>
      </c>
      <c r="M32" s="209" t="s">
        <v>148</v>
      </c>
      <c r="N32" s="424"/>
      <c r="O32" s="39"/>
      <c r="P32" s="424"/>
      <c r="Q32" s="39"/>
      <c r="R32" s="39"/>
      <c r="S32" s="39"/>
      <c r="T32" s="39"/>
      <c r="U32" s="39"/>
      <c r="V32" s="39"/>
      <c r="W32" s="39"/>
      <c r="X32" s="636"/>
      <c r="Y32" s="639"/>
      <c r="Z32" s="645"/>
      <c r="AA32" s="211"/>
      <c r="AB32" s="552"/>
      <c r="AC32" s="552"/>
      <c r="AD32" s="552"/>
      <c r="AE32" s="642"/>
      <c r="AF32" s="39">
        <v>42916</v>
      </c>
      <c r="AG32" s="581"/>
      <c r="AH32" s="581"/>
      <c r="AI32" s="581"/>
      <c r="AJ32" s="573"/>
      <c r="AK32" s="564"/>
      <c r="AL32" s="564"/>
      <c r="AM32" s="564"/>
      <c r="AN32" s="573"/>
      <c r="AO32" s="629"/>
    </row>
    <row r="33" spans="1:41" x14ac:dyDescent="0.35">
      <c r="A33" s="197" t="s">
        <v>89</v>
      </c>
      <c r="B33" s="632"/>
      <c r="C33" s="634"/>
      <c r="D33" s="592"/>
      <c r="E33" s="32"/>
      <c r="F33" s="568"/>
      <c r="G33" s="568"/>
      <c r="H33" s="36">
        <f>$E33*F31/($F31+1.1*$G31)</f>
        <v>0</v>
      </c>
      <c r="I33" s="36">
        <f>1.1*G31*$E33/($F31+1.1*$G31)</f>
        <v>0</v>
      </c>
      <c r="J33" s="428"/>
      <c r="K33" s="428"/>
      <c r="L33" s="428"/>
      <c r="M33" s="428"/>
      <c r="N33" s="425"/>
      <c r="O33" s="198">
        <v>42079</v>
      </c>
      <c r="P33" s="425">
        <v>42079</v>
      </c>
      <c r="Q33" s="198">
        <v>42082</v>
      </c>
      <c r="R33" s="198">
        <v>42082</v>
      </c>
      <c r="S33" s="198">
        <v>42082</v>
      </c>
      <c r="T33" s="198">
        <v>42097</v>
      </c>
      <c r="U33" s="198">
        <v>42136</v>
      </c>
      <c r="V33" s="198"/>
      <c r="W33" s="198"/>
      <c r="X33" s="637"/>
      <c r="Y33" s="640"/>
      <c r="Z33" s="646"/>
      <c r="AA33" s="213"/>
      <c r="AB33" s="553"/>
      <c r="AC33" s="553"/>
      <c r="AD33" s="553"/>
      <c r="AE33" s="643"/>
      <c r="AF33" s="198"/>
      <c r="AG33" s="581"/>
      <c r="AH33" s="581"/>
      <c r="AI33" s="581"/>
      <c r="AJ33" s="574"/>
      <c r="AK33" s="565"/>
      <c r="AL33" s="565"/>
      <c r="AM33" s="565"/>
      <c r="AN33" s="574"/>
      <c r="AO33" s="630"/>
    </row>
    <row r="34" spans="1:41" x14ac:dyDescent="0.35">
      <c r="A34" s="195" t="s">
        <v>87</v>
      </c>
      <c r="B34" s="631" t="s">
        <v>495</v>
      </c>
      <c r="C34" s="610" t="s">
        <v>647</v>
      </c>
      <c r="D34" s="610" t="s">
        <v>648</v>
      </c>
      <c r="E34" s="33"/>
      <c r="F34" s="566">
        <v>0.66</v>
      </c>
      <c r="G34" s="566">
        <f>1-F34</f>
        <v>0.33999999999999997</v>
      </c>
      <c r="H34" s="34"/>
      <c r="I34" s="34"/>
      <c r="J34" s="429"/>
      <c r="K34" s="429"/>
      <c r="L34" s="429"/>
      <c r="M34" s="429"/>
      <c r="N34" s="423"/>
      <c r="O34" s="38"/>
      <c r="P34" s="423"/>
      <c r="Q34" s="38"/>
      <c r="R34" s="38"/>
      <c r="S34" s="38"/>
      <c r="T34" s="38"/>
      <c r="U34" s="38"/>
      <c r="V34" s="38"/>
      <c r="W34" s="38">
        <v>43347</v>
      </c>
      <c r="X34" s="635">
        <v>43350</v>
      </c>
      <c r="Y34" s="638"/>
      <c r="Z34" s="644" t="s">
        <v>315</v>
      </c>
      <c r="AA34" s="214"/>
      <c r="AB34" s="551"/>
      <c r="AC34" s="551"/>
      <c r="AD34" s="551"/>
      <c r="AE34" s="641" t="s">
        <v>683</v>
      </c>
      <c r="AF34" s="38">
        <v>43646</v>
      </c>
      <c r="AG34" s="581"/>
      <c r="AH34" s="581"/>
      <c r="AI34" s="581"/>
      <c r="AJ34" s="572" t="str">
        <f>IF(AB34=0,"",AG34/AB34)</f>
        <v/>
      </c>
      <c r="AK34" s="563">
        <f>AB34-AG34</f>
        <v>0</v>
      </c>
      <c r="AL34" s="563">
        <f>AC34-AH34</f>
        <v>0</v>
      </c>
      <c r="AM34" s="563">
        <f>AD34-AI34</f>
        <v>0</v>
      </c>
      <c r="AN34" s="572" t="str">
        <f>IF(AB34=0,"",1-AJ34)</f>
        <v/>
      </c>
      <c r="AO34" s="628"/>
    </row>
    <row r="35" spans="1:41" x14ac:dyDescent="0.35">
      <c r="A35" s="196" t="s">
        <v>88</v>
      </c>
      <c r="B35" s="632"/>
      <c r="C35" s="633"/>
      <c r="D35" s="590"/>
      <c r="E35" s="31"/>
      <c r="F35" s="567"/>
      <c r="G35" s="567"/>
      <c r="H35" s="35"/>
      <c r="I35" s="35"/>
      <c r="J35" s="426" t="s">
        <v>113</v>
      </c>
      <c r="K35" s="426" t="s">
        <v>62</v>
      </c>
      <c r="L35" s="426" t="s">
        <v>70</v>
      </c>
      <c r="M35" s="378" t="s">
        <v>661</v>
      </c>
      <c r="N35" s="424"/>
      <c r="O35" s="39"/>
      <c r="P35" s="424"/>
      <c r="Q35" s="39"/>
      <c r="R35" s="39"/>
      <c r="S35" s="39"/>
      <c r="T35" s="39"/>
      <c r="U35" s="39"/>
      <c r="V35" s="39"/>
      <c r="W35" s="39"/>
      <c r="X35" s="636"/>
      <c r="Y35" s="639"/>
      <c r="Z35" s="645"/>
      <c r="AA35" s="211"/>
      <c r="AB35" s="552"/>
      <c r="AC35" s="552"/>
      <c r="AD35" s="552"/>
      <c r="AE35" s="642"/>
      <c r="AF35" s="39"/>
      <c r="AG35" s="581"/>
      <c r="AH35" s="581"/>
      <c r="AI35" s="581"/>
      <c r="AJ35" s="573"/>
      <c r="AK35" s="564"/>
      <c r="AL35" s="564"/>
      <c r="AM35" s="564"/>
      <c r="AN35" s="573"/>
      <c r="AO35" s="629"/>
    </row>
    <row r="36" spans="1:41" x14ac:dyDescent="0.35">
      <c r="A36" s="197" t="s">
        <v>89</v>
      </c>
      <c r="B36" s="632"/>
      <c r="C36" s="634"/>
      <c r="D36" s="592"/>
      <c r="E36" s="32"/>
      <c r="F36" s="568"/>
      <c r="G36" s="568"/>
      <c r="H36" s="36"/>
      <c r="I36" s="36"/>
      <c r="J36" s="428"/>
      <c r="K36" s="428"/>
      <c r="L36" s="428"/>
      <c r="M36" s="428"/>
      <c r="N36" s="425"/>
      <c r="O36" s="198"/>
      <c r="P36" s="425"/>
      <c r="Q36" s="198"/>
      <c r="R36" s="198"/>
      <c r="S36" s="198"/>
      <c r="T36" s="198"/>
      <c r="U36" s="198"/>
      <c r="V36" s="198"/>
      <c r="W36" s="198"/>
      <c r="X36" s="637"/>
      <c r="Y36" s="640"/>
      <c r="Z36" s="646"/>
      <c r="AA36" s="213"/>
      <c r="AB36" s="553"/>
      <c r="AC36" s="553"/>
      <c r="AD36" s="553"/>
      <c r="AE36" s="643"/>
      <c r="AF36" s="198"/>
      <c r="AG36" s="581"/>
      <c r="AH36" s="581"/>
      <c r="AI36" s="581"/>
      <c r="AJ36" s="574"/>
      <c r="AK36" s="565"/>
      <c r="AL36" s="565"/>
      <c r="AM36" s="565"/>
      <c r="AN36" s="574"/>
      <c r="AO36" s="630"/>
    </row>
    <row r="37" spans="1:41" x14ac:dyDescent="0.35">
      <c r="A37" s="195" t="s">
        <v>87</v>
      </c>
      <c r="B37" s="631" t="s">
        <v>536</v>
      </c>
      <c r="C37" s="610" t="s">
        <v>654</v>
      </c>
      <c r="D37" s="610" t="s">
        <v>656</v>
      </c>
      <c r="E37" s="33"/>
      <c r="F37" s="566">
        <v>1</v>
      </c>
      <c r="G37" s="566">
        <f>1-F37</f>
        <v>0</v>
      </c>
      <c r="H37" s="34"/>
      <c r="I37" s="34"/>
      <c r="J37" s="429"/>
      <c r="K37" s="429"/>
      <c r="L37" s="429"/>
      <c r="M37" s="429"/>
      <c r="N37" s="423"/>
      <c r="O37" s="38">
        <f>P37-7</f>
        <v>43361</v>
      </c>
      <c r="P37" s="423">
        <f>Q37-7</f>
        <v>43368</v>
      </c>
      <c r="Q37" s="38">
        <f>R37-30</f>
        <v>43375</v>
      </c>
      <c r="R37" s="38">
        <f>S37-15</f>
        <v>43405</v>
      </c>
      <c r="S37" s="38">
        <f>T37-15</f>
        <v>43420</v>
      </c>
      <c r="T37" s="38">
        <v>43435</v>
      </c>
      <c r="U37" s="38">
        <v>43490</v>
      </c>
      <c r="V37" s="38">
        <f>U37+13</f>
        <v>43503</v>
      </c>
      <c r="W37" s="38">
        <v>43521</v>
      </c>
      <c r="X37" s="635">
        <f>W37+30</f>
        <v>43551</v>
      </c>
      <c r="Y37" s="638"/>
      <c r="Z37" s="644" t="s">
        <v>315</v>
      </c>
      <c r="AA37" s="214"/>
      <c r="AB37" s="551"/>
      <c r="AC37" s="551"/>
      <c r="AD37" s="551"/>
      <c r="AE37" s="641"/>
      <c r="AF37" s="38"/>
      <c r="AG37" s="581"/>
      <c r="AH37" s="581"/>
      <c r="AI37" s="581"/>
      <c r="AJ37" s="572" t="str">
        <f>IF(AB37=0,"",AG37/AB37)</f>
        <v/>
      </c>
      <c r="AK37" s="563">
        <f>AB37-AG37</f>
        <v>0</v>
      </c>
      <c r="AL37" s="563">
        <f>AC37-AH37</f>
        <v>0</v>
      </c>
      <c r="AM37" s="563">
        <f>AD37-AI37</f>
        <v>0</v>
      </c>
      <c r="AN37" s="572" t="str">
        <f>IF(AB37=0,"",1-AJ37)</f>
        <v/>
      </c>
      <c r="AO37" s="628"/>
    </row>
    <row r="38" spans="1:41" x14ac:dyDescent="0.35">
      <c r="A38" s="196" t="s">
        <v>88</v>
      </c>
      <c r="B38" s="632"/>
      <c r="C38" s="633"/>
      <c r="D38" s="590"/>
      <c r="E38" s="31"/>
      <c r="F38" s="567"/>
      <c r="G38" s="567"/>
      <c r="H38" s="35"/>
      <c r="I38" s="35"/>
      <c r="J38" s="426" t="s">
        <v>113</v>
      </c>
      <c r="K38" s="426" t="s">
        <v>61</v>
      </c>
      <c r="L38" s="426" t="s">
        <v>70</v>
      </c>
      <c r="M38" s="378" t="s">
        <v>658</v>
      </c>
      <c r="N38" s="424"/>
      <c r="O38" s="39"/>
      <c r="P38" s="424"/>
      <c r="Q38" s="39"/>
      <c r="R38" s="39"/>
      <c r="S38" s="39"/>
      <c r="T38" s="39"/>
      <c r="U38" s="39"/>
      <c r="V38" s="39"/>
      <c r="W38" s="39"/>
      <c r="X38" s="636"/>
      <c r="Y38" s="639"/>
      <c r="Z38" s="645"/>
      <c r="AA38" s="211"/>
      <c r="AB38" s="552"/>
      <c r="AC38" s="552"/>
      <c r="AD38" s="552"/>
      <c r="AE38" s="642"/>
      <c r="AF38" s="39"/>
      <c r="AG38" s="581"/>
      <c r="AH38" s="581"/>
      <c r="AI38" s="581"/>
      <c r="AJ38" s="573"/>
      <c r="AK38" s="564"/>
      <c r="AL38" s="564"/>
      <c r="AM38" s="564"/>
      <c r="AN38" s="573"/>
      <c r="AO38" s="629"/>
    </row>
    <row r="39" spans="1:41" x14ac:dyDescent="0.35">
      <c r="A39" s="197" t="s">
        <v>89</v>
      </c>
      <c r="B39" s="632"/>
      <c r="C39" s="634"/>
      <c r="D39" s="592"/>
      <c r="E39" s="32"/>
      <c r="F39" s="568"/>
      <c r="G39" s="568"/>
      <c r="H39" s="36"/>
      <c r="I39" s="36"/>
      <c r="J39" s="428"/>
      <c r="K39" s="428"/>
      <c r="L39" s="428"/>
      <c r="M39" s="428"/>
      <c r="N39" s="425"/>
      <c r="O39" s="198"/>
      <c r="P39" s="425"/>
      <c r="Q39" s="198"/>
      <c r="R39" s="198"/>
      <c r="S39" s="198"/>
      <c r="T39" s="198"/>
      <c r="U39" s="198"/>
      <c r="V39" s="198"/>
      <c r="W39" s="198"/>
      <c r="X39" s="637"/>
      <c r="Y39" s="640"/>
      <c r="Z39" s="646"/>
      <c r="AA39" s="213"/>
      <c r="AB39" s="553"/>
      <c r="AC39" s="553"/>
      <c r="AD39" s="553"/>
      <c r="AE39" s="643"/>
      <c r="AF39" s="198"/>
      <c r="AG39" s="581"/>
      <c r="AH39" s="581"/>
      <c r="AI39" s="581"/>
      <c r="AJ39" s="574"/>
      <c r="AK39" s="565"/>
      <c r="AL39" s="565"/>
      <c r="AM39" s="565"/>
      <c r="AN39" s="574"/>
      <c r="AO39" s="630"/>
    </row>
    <row r="40" spans="1:41" x14ac:dyDescent="0.35">
      <c r="A40" s="195" t="s">
        <v>87</v>
      </c>
      <c r="B40" s="631" t="s">
        <v>537</v>
      </c>
      <c r="C40" s="610" t="s">
        <v>655</v>
      </c>
      <c r="D40" s="610" t="s">
        <v>657</v>
      </c>
      <c r="E40" s="33"/>
      <c r="F40" s="566">
        <v>1</v>
      </c>
      <c r="G40" s="566">
        <f>1-F40</f>
        <v>0</v>
      </c>
      <c r="H40" s="34"/>
      <c r="I40" s="34"/>
      <c r="J40" s="429"/>
      <c r="K40" s="429"/>
      <c r="L40" s="429"/>
      <c r="M40" s="429"/>
      <c r="N40" s="423"/>
      <c r="O40" s="38"/>
      <c r="P40" s="423"/>
      <c r="Q40" s="38"/>
      <c r="R40" s="38"/>
      <c r="S40" s="38"/>
      <c r="T40" s="38"/>
      <c r="U40" s="38"/>
      <c r="V40" s="38"/>
      <c r="W40" s="38"/>
      <c r="X40" s="635"/>
      <c r="Y40" s="638"/>
      <c r="Z40" s="644" t="s">
        <v>315</v>
      </c>
      <c r="AA40" s="214"/>
      <c r="AB40" s="551"/>
      <c r="AC40" s="551"/>
      <c r="AD40" s="551"/>
      <c r="AE40" s="641"/>
      <c r="AF40" s="38"/>
      <c r="AG40" s="581"/>
      <c r="AH40" s="581"/>
      <c r="AI40" s="581"/>
      <c r="AJ40" s="572" t="str">
        <f>IF(AB40=0,"",AG40/AB40)</f>
        <v/>
      </c>
      <c r="AK40" s="563">
        <f>AB40-AG40</f>
        <v>0</v>
      </c>
      <c r="AL40" s="563">
        <f>AC40-AH40</f>
        <v>0</v>
      </c>
      <c r="AM40" s="563">
        <f>AD40-AI40</f>
        <v>0</v>
      </c>
      <c r="AN40" s="572" t="str">
        <f>IF(AB40=0,"",1-AJ40)</f>
        <v/>
      </c>
      <c r="AO40" s="628"/>
    </row>
    <row r="41" spans="1:41" x14ac:dyDescent="0.35">
      <c r="A41" s="196" t="s">
        <v>88</v>
      </c>
      <c r="B41" s="632"/>
      <c r="C41" s="633"/>
      <c r="D41" s="590"/>
      <c r="E41" s="31"/>
      <c r="F41" s="567"/>
      <c r="G41" s="567"/>
      <c r="H41" s="35"/>
      <c r="I41" s="35"/>
      <c r="J41" s="426" t="s">
        <v>113</v>
      </c>
      <c r="K41" s="426" t="s">
        <v>62</v>
      </c>
      <c r="L41" s="426" t="s">
        <v>71</v>
      </c>
      <c r="M41" s="378" t="s">
        <v>304</v>
      </c>
      <c r="N41" s="424"/>
      <c r="O41" s="39"/>
      <c r="P41" s="424"/>
      <c r="Q41" s="39"/>
      <c r="R41" s="39"/>
      <c r="S41" s="39"/>
      <c r="T41" s="39"/>
      <c r="U41" s="39"/>
      <c r="V41" s="39"/>
      <c r="W41" s="39"/>
      <c r="X41" s="636"/>
      <c r="Y41" s="639"/>
      <c r="Z41" s="645"/>
      <c r="AA41" s="211"/>
      <c r="AB41" s="552"/>
      <c r="AC41" s="552"/>
      <c r="AD41" s="552"/>
      <c r="AE41" s="642"/>
      <c r="AF41" s="39"/>
      <c r="AG41" s="581"/>
      <c r="AH41" s="581"/>
      <c r="AI41" s="581"/>
      <c r="AJ41" s="573"/>
      <c r="AK41" s="564"/>
      <c r="AL41" s="564"/>
      <c r="AM41" s="564"/>
      <c r="AN41" s="573"/>
      <c r="AO41" s="629"/>
    </row>
    <row r="42" spans="1:41" x14ac:dyDescent="0.35">
      <c r="A42" s="197" t="s">
        <v>89</v>
      </c>
      <c r="B42" s="632"/>
      <c r="C42" s="634"/>
      <c r="D42" s="592"/>
      <c r="E42" s="32"/>
      <c r="F42" s="568"/>
      <c r="G42" s="568"/>
      <c r="H42" s="36"/>
      <c r="I42" s="36"/>
      <c r="J42" s="428"/>
      <c r="K42" s="428"/>
      <c r="L42" s="428"/>
      <c r="M42" s="428"/>
      <c r="N42" s="425"/>
      <c r="O42" s="198"/>
      <c r="P42" s="425"/>
      <c r="Q42" s="198"/>
      <c r="R42" s="198"/>
      <c r="S42" s="198"/>
      <c r="T42" s="198"/>
      <c r="U42" s="198"/>
      <c r="V42" s="198"/>
      <c r="W42" s="198"/>
      <c r="X42" s="637"/>
      <c r="Y42" s="640"/>
      <c r="Z42" s="646"/>
      <c r="AA42" s="213"/>
      <c r="AB42" s="553"/>
      <c r="AC42" s="553"/>
      <c r="AD42" s="553"/>
      <c r="AE42" s="643"/>
      <c r="AF42" s="198"/>
      <c r="AG42" s="581"/>
      <c r="AH42" s="581"/>
      <c r="AI42" s="581"/>
      <c r="AJ42" s="574"/>
      <c r="AK42" s="565"/>
      <c r="AL42" s="565"/>
      <c r="AM42" s="565"/>
      <c r="AN42" s="574"/>
      <c r="AO42" s="630"/>
    </row>
    <row r="43" spans="1:41" x14ac:dyDescent="0.35">
      <c r="A43" s="195" t="s">
        <v>87</v>
      </c>
      <c r="B43" s="631" t="s">
        <v>538</v>
      </c>
      <c r="C43" s="610" t="s">
        <v>663</v>
      </c>
      <c r="D43" s="610" t="s">
        <v>666</v>
      </c>
      <c r="E43" s="33"/>
      <c r="F43" s="566">
        <v>0.66</v>
      </c>
      <c r="G43" s="566">
        <f>1-F43</f>
        <v>0.33999999999999997</v>
      </c>
      <c r="H43" s="34">
        <f>$E43*F43/($F43+1.11*$G43)</f>
        <v>0</v>
      </c>
      <c r="I43" s="34">
        <f>1.11*G43*$E43/($F43+1.11*$G43)</f>
        <v>0</v>
      </c>
      <c r="J43" s="429"/>
      <c r="K43" s="429"/>
      <c r="L43" s="429"/>
      <c r="M43" s="429"/>
      <c r="N43" s="423"/>
      <c r="O43" s="38"/>
      <c r="P43" s="423"/>
      <c r="Q43" s="38"/>
      <c r="R43" s="38"/>
      <c r="S43" s="38"/>
      <c r="T43" s="38"/>
      <c r="U43" s="38"/>
      <c r="V43" s="38"/>
      <c r="W43" s="38"/>
      <c r="X43" s="635">
        <v>43279</v>
      </c>
      <c r="Y43" s="638"/>
      <c r="Z43" s="644" t="s">
        <v>315</v>
      </c>
      <c r="AA43" s="208"/>
      <c r="AB43" s="551"/>
      <c r="AC43" s="551"/>
      <c r="AD43" s="551"/>
      <c r="AE43" s="641" t="s">
        <v>683</v>
      </c>
      <c r="AF43" s="38"/>
      <c r="AG43" s="581"/>
      <c r="AH43" s="581"/>
      <c r="AI43" s="581">
        <f>1.1*G43*$AG43/($F43+1.1*$G43)</f>
        <v>0</v>
      </c>
      <c r="AJ43" s="572" t="str">
        <f>IF(AB43=0,"",AG43/AB43)</f>
        <v/>
      </c>
      <c r="AK43" s="563">
        <f>AB43-AG43</f>
        <v>0</v>
      </c>
      <c r="AL43" s="563">
        <f>AC43-AH43</f>
        <v>0</v>
      </c>
      <c r="AM43" s="563">
        <f>AD43-AI43</f>
        <v>0</v>
      </c>
      <c r="AN43" s="572" t="str">
        <f>IF(AB43=0,"",1-AJ43)</f>
        <v/>
      </c>
      <c r="AO43" s="628"/>
    </row>
    <row r="44" spans="1:41" x14ac:dyDescent="0.35">
      <c r="A44" s="196" t="s">
        <v>88</v>
      </c>
      <c r="B44" s="632"/>
      <c r="C44" s="633"/>
      <c r="D44" s="590"/>
      <c r="E44" s="31"/>
      <c r="F44" s="567"/>
      <c r="G44" s="567"/>
      <c r="H44" s="35">
        <f>$E44*F43/($F43+1.11*$G43)</f>
        <v>0</v>
      </c>
      <c r="I44" s="35">
        <f>1.11*G43*$E44/($F43+1.11*$G43)</f>
        <v>0</v>
      </c>
      <c r="J44" s="426" t="s">
        <v>113</v>
      </c>
      <c r="K44" s="426" t="s">
        <v>62</v>
      </c>
      <c r="L44" s="426" t="s">
        <v>70</v>
      </c>
      <c r="M44" s="378" t="s">
        <v>661</v>
      </c>
      <c r="N44" s="424"/>
      <c r="O44" s="39"/>
      <c r="P44" s="424"/>
      <c r="Q44" s="39"/>
      <c r="R44" s="39"/>
      <c r="S44" s="39"/>
      <c r="T44" s="39"/>
      <c r="U44" s="39"/>
      <c r="V44" s="39"/>
      <c r="W44" s="39"/>
      <c r="X44" s="636"/>
      <c r="Y44" s="639"/>
      <c r="Z44" s="645"/>
      <c r="AA44" s="211"/>
      <c r="AB44" s="552"/>
      <c r="AC44" s="552"/>
      <c r="AD44" s="552"/>
      <c r="AE44" s="642"/>
      <c r="AF44" s="39">
        <v>43404</v>
      </c>
      <c r="AG44" s="581"/>
      <c r="AH44" s="581"/>
      <c r="AI44" s="581"/>
      <c r="AJ44" s="573"/>
      <c r="AK44" s="564"/>
      <c r="AL44" s="564"/>
      <c r="AM44" s="564"/>
      <c r="AN44" s="573"/>
      <c r="AO44" s="629"/>
    </row>
    <row r="45" spans="1:41" x14ac:dyDescent="0.35">
      <c r="A45" s="197" t="s">
        <v>89</v>
      </c>
      <c r="B45" s="632"/>
      <c r="C45" s="634"/>
      <c r="D45" s="592"/>
      <c r="E45" s="32"/>
      <c r="F45" s="568"/>
      <c r="G45" s="568"/>
      <c r="H45" s="36">
        <f>$E45*F43/($F43+1.11*$G43)</f>
        <v>0</v>
      </c>
      <c r="I45" s="36">
        <f>1.11*G43*$E45/($F43+1.11*$G43)</f>
        <v>0</v>
      </c>
      <c r="J45" s="428"/>
      <c r="K45" s="428"/>
      <c r="L45" s="428"/>
      <c r="M45" s="428"/>
      <c r="N45" s="425"/>
      <c r="O45" s="198"/>
      <c r="P45" s="425"/>
      <c r="Q45" s="198"/>
      <c r="R45" s="198"/>
      <c r="S45" s="198"/>
      <c r="T45" s="198"/>
      <c r="U45" s="198"/>
      <c r="V45" s="198"/>
      <c r="W45" s="198"/>
      <c r="X45" s="637"/>
      <c r="Y45" s="640"/>
      <c r="Z45" s="646"/>
      <c r="AA45" s="213"/>
      <c r="AB45" s="553"/>
      <c r="AC45" s="553"/>
      <c r="AD45" s="553"/>
      <c r="AE45" s="643"/>
      <c r="AF45" s="39"/>
      <c r="AG45" s="581"/>
      <c r="AH45" s="581"/>
      <c r="AI45" s="581"/>
      <c r="AJ45" s="574"/>
      <c r="AK45" s="565"/>
      <c r="AL45" s="565"/>
      <c r="AM45" s="565"/>
      <c r="AN45" s="574"/>
      <c r="AO45" s="630"/>
    </row>
    <row r="46" spans="1:41" x14ac:dyDescent="0.35">
      <c r="A46" s="195" t="s">
        <v>87</v>
      </c>
      <c r="B46" s="631" t="s">
        <v>538</v>
      </c>
      <c r="C46" s="610" t="s">
        <v>665</v>
      </c>
      <c r="D46" s="610" t="s">
        <v>662</v>
      </c>
      <c r="E46" s="33"/>
      <c r="F46" s="566">
        <v>0.66</v>
      </c>
      <c r="G46" s="566">
        <f>1-F46</f>
        <v>0.33999999999999997</v>
      </c>
      <c r="H46" s="34">
        <f>$E46*F46/($F46+1.11*$G46)</f>
        <v>0</v>
      </c>
      <c r="I46" s="34">
        <f>1.11*G46*$E46/($F46+1.11*$G46)</f>
        <v>0</v>
      </c>
      <c r="J46" s="429"/>
      <c r="K46" s="429"/>
      <c r="L46" s="429"/>
      <c r="M46" s="429"/>
      <c r="N46" s="423"/>
      <c r="O46" s="38"/>
      <c r="P46" s="423"/>
      <c r="Q46" s="38"/>
      <c r="R46" s="38"/>
      <c r="S46" s="38"/>
      <c r="T46" s="38"/>
      <c r="U46" s="38"/>
      <c r="V46" s="38"/>
      <c r="W46" s="38"/>
      <c r="X46" s="38">
        <v>43405</v>
      </c>
      <c r="Y46" s="648"/>
      <c r="Z46" s="207"/>
      <c r="AA46" s="208"/>
      <c r="AB46" s="551"/>
      <c r="AC46" s="551"/>
      <c r="AD46" s="551"/>
      <c r="AE46" s="647"/>
      <c r="AF46" s="38"/>
      <c r="AG46" s="581"/>
      <c r="AH46" s="581"/>
      <c r="AI46" s="581">
        <f>1.1*G46*$AG46/($F46+1.1*$G46)</f>
        <v>0</v>
      </c>
      <c r="AJ46" s="572" t="str">
        <f>IF(AB46=0,"",AG46/AB46)</f>
        <v/>
      </c>
      <c r="AK46" s="563">
        <f>AB46-AG46</f>
        <v>0</v>
      </c>
      <c r="AL46" s="563">
        <f>AC46-AH46</f>
        <v>0</v>
      </c>
      <c r="AM46" s="563">
        <f>AD46-AI46</f>
        <v>0</v>
      </c>
      <c r="AN46" s="572" t="str">
        <f>IF(AB46=0,"",1-AJ46)</f>
        <v/>
      </c>
      <c r="AO46" s="628"/>
    </row>
    <row r="47" spans="1:41" x14ac:dyDescent="0.35">
      <c r="A47" s="196" t="s">
        <v>88</v>
      </c>
      <c r="B47" s="632"/>
      <c r="C47" s="633"/>
      <c r="D47" s="590"/>
      <c r="E47" s="31"/>
      <c r="F47" s="567"/>
      <c r="G47" s="567"/>
      <c r="H47" s="35">
        <f>$E47*F46/($F46+1.11*$G46)</f>
        <v>0</v>
      </c>
      <c r="I47" s="35">
        <f>1.11*G46*$E47/($F46+1.11*$G46)</f>
        <v>0</v>
      </c>
      <c r="J47" s="426" t="s">
        <v>113</v>
      </c>
      <c r="K47" s="426" t="s">
        <v>62</v>
      </c>
      <c r="L47" s="426" t="s">
        <v>70</v>
      </c>
      <c r="M47" s="378" t="s">
        <v>661</v>
      </c>
      <c r="N47" s="424"/>
      <c r="O47" s="39"/>
      <c r="P47" s="424"/>
      <c r="Q47" s="39"/>
      <c r="R47" s="39"/>
      <c r="S47" s="39"/>
      <c r="T47" s="39"/>
      <c r="U47" s="39"/>
      <c r="V47" s="39"/>
      <c r="W47" s="39"/>
      <c r="X47" s="39"/>
      <c r="Y47" s="649"/>
      <c r="Z47" s="210"/>
      <c r="AA47" s="211"/>
      <c r="AB47" s="552"/>
      <c r="AC47" s="552"/>
      <c r="AD47" s="552"/>
      <c r="AE47" s="642"/>
      <c r="AF47" s="39"/>
      <c r="AG47" s="581"/>
      <c r="AH47" s="581"/>
      <c r="AI47" s="581"/>
      <c r="AJ47" s="573"/>
      <c r="AK47" s="564"/>
      <c r="AL47" s="564"/>
      <c r="AM47" s="564"/>
      <c r="AN47" s="573"/>
      <c r="AO47" s="629"/>
    </row>
    <row r="48" spans="1:41" x14ac:dyDescent="0.35">
      <c r="A48" s="197" t="s">
        <v>89</v>
      </c>
      <c r="B48" s="632"/>
      <c r="C48" s="634"/>
      <c r="D48" s="592"/>
      <c r="E48" s="32"/>
      <c r="F48" s="568"/>
      <c r="G48" s="568"/>
      <c r="H48" s="36">
        <f>$E48*F46/($F46+1.11*$G46)</f>
        <v>0</v>
      </c>
      <c r="I48" s="36">
        <f>1.11*G46*$E48/($F46+1.11*$G46)</f>
        <v>0</v>
      </c>
      <c r="J48" s="428"/>
      <c r="K48" s="428"/>
      <c r="L48" s="428"/>
      <c r="M48" s="428"/>
      <c r="N48" s="425"/>
      <c r="O48" s="198"/>
      <c r="P48" s="425"/>
      <c r="Q48" s="198"/>
      <c r="R48" s="198"/>
      <c r="S48" s="198"/>
      <c r="T48" s="198"/>
      <c r="U48" s="198"/>
      <c r="V48" s="198"/>
      <c r="W48" s="198"/>
      <c r="X48" s="198"/>
      <c r="Y48" s="650"/>
      <c r="Z48" s="212"/>
      <c r="AA48" s="213"/>
      <c r="AB48" s="553"/>
      <c r="AC48" s="553"/>
      <c r="AD48" s="553"/>
      <c r="AE48" s="643"/>
      <c r="AF48" s="39"/>
      <c r="AG48" s="581"/>
      <c r="AH48" s="581"/>
      <c r="AI48" s="581"/>
      <c r="AJ48" s="574"/>
      <c r="AK48" s="565"/>
      <c r="AL48" s="565"/>
      <c r="AM48" s="565"/>
      <c r="AN48" s="574"/>
      <c r="AO48" s="630"/>
    </row>
    <row r="49" spans="1:41" x14ac:dyDescent="0.35">
      <c r="A49" s="195" t="s">
        <v>87</v>
      </c>
      <c r="B49" s="631" t="s">
        <v>539</v>
      </c>
      <c r="C49" s="610" t="s">
        <v>664</v>
      </c>
      <c r="D49" s="610" t="s">
        <v>667</v>
      </c>
      <c r="E49" s="33"/>
      <c r="F49" s="566">
        <v>0.66</v>
      </c>
      <c r="G49" s="566">
        <f>1-F49</f>
        <v>0.33999999999999997</v>
      </c>
      <c r="H49" s="34">
        <f>$E49*F49/($F49+1.11*$G49)</f>
        <v>0</v>
      </c>
      <c r="I49" s="34">
        <f>1.11*G49*$E49/($F49+1.11*$G49)</f>
        <v>0</v>
      </c>
      <c r="J49" s="429"/>
      <c r="K49" s="429"/>
      <c r="L49" s="429"/>
      <c r="M49" s="429"/>
      <c r="N49" s="423">
        <v>43490</v>
      </c>
      <c r="O49" s="38">
        <f>N49</f>
        <v>43490</v>
      </c>
      <c r="P49" s="423"/>
      <c r="Q49" s="38"/>
      <c r="R49" s="38"/>
      <c r="S49" s="38"/>
      <c r="T49" s="38"/>
      <c r="U49" s="38">
        <v>43507</v>
      </c>
      <c r="V49" s="38"/>
      <c r="W49" s="38"/>
      <c r="X49" s="38">
        <v>43514</v>
      </c>
      <c r="Y49" s="648"/>
      <c r="Z49" s="207"/>
      <c r="AA49" s="208"/>
      <c r="AB49" s="551"/>
      <c r="AC49" s="551"/>
      <c r="AD49" s="551"/>
      <c r="AE49" s="647"/>
      <c r="AF49" s="38"/>
      <c r="AG49" s="581"/>
      <c r="AH49" s="581"/>
      <c r="AI49" s="581">
        <f>1.1*G49*$AG49/($F49+1.1*$G49)</f>
        <v>0</v>
      </c>
      <c r="AJ49" s="572" t="str">
        <f>IF(AB49=0,"",AG49/AB49)</f>
        <v/>
      </c>
      <c r="AK49" s="563">
        <f>AB49-AG49</f>
        <v>0</v>
      </c>
      <c r="AL49" s="563">
        <f>AC49-AH49</f>
        <v>0</v>
      </c>
      <c r="AM49" s="563">
        <f>AD49-AI49</f>
        <v>0</v>
      </c>
      <c r="AN49" s="572" t="str">
        <f>IF(AB49=0,"",1-AJ49)</f>
        <v/>
      </c>
      <c r="AO49" s="628"/>
    </row>
    <row r="50" spans="1:41" x14ac:dyDescent="0.35">
      <c r="A50" s="196" t="s">
        <v>88</v>
      </c>
      <c r="B50" s="632"/>
      <c r="C50" s="633"/>
      <c r="D50" s="590"/>
      <c r="E50" s="31"/>
      <c r="F50" s="567"/>
      <c r="G50" s="567"/>
      <c r="H50" s="35">
        <f>$E50*F49/($F49+1.11*$G49)</f>
        <v>0</v>
      </c>
      <c r="I50" s="35">
        <f>1.11*G49*$E50/($F49+1.11*$G49)</f>
        <v>0</v>
      </c>
      <c r="J50" s="426" t="s">
        <v>113</v>
      </c>
      <c r="K50" s="426" t="s">
        <v>62</v>
      </c>
      <c r="L50" s="426" t="s">
        <v>70</v>
      </c>
      <c r="M50" s="378" t="s">
        <v>148</v>
      </c>
      <c r="N50" s="424"/>
      <c r="O50" s="39"/>
      <c r="P50" s="424"/>
      <c r="Q50" s="39"/>
      <c r="R50" s="39"/>
      <c r="S50" s="39"/>
      <c r="T50" s="39"/>
      <c r="U50" s="39"/>
      <c r="V50" s="39"/>
      <c r="W50" s="39"/>
      <c r="X50" s="39"/>
      <c r="Y50" s="649"/>
      <c r="Z50" s="210"/>
      <c r="AA50" s="211"/>
      <c r="AB50" s="552"/>
      <c r="AC50" s="552"/>
      <c r="AD50" s="552"/>
      <c r="AE50" s="642"/>
      <c r="AF50" s="39"/>
      <c r="AG50" s="581"/>
      <c r="AH50" s="581"/>
      <c r="AI50" s="581"/>
      <c r="AJ50" s="573"/>
      <c r="AK50" s="564"/>
      <c r="AL50" s="564"/>
      <c r="AM50" s="564"/>
      <c r="AN50" s="573"/>
      <c r="AO50" s="629"/>
    </row>
    <row r="51" spans="1:41" x14ac:dyDescent="0.35">
      <c r="A51" s="197" t="s">
        <v>89</v>
      </c>
      <c r="B51" s="632"/>
      <c r="C51" s="634"/>
      <c r="D51" s="592"/>
      <c r="E51" s="32"/>
      <c r="F51" s="568"/>
      <c r="G51" s="568"/>
      <c r="H51" s="36">
        <f>$E51*F49/($F49+1.11*$G49)</f>
        <v>0</v>
      </c>
      <c r="I51" s="36">
        <f>1.11*G49*$E51/($F49+1.11*$G49)</f>
        <v>0</v>
      </c>
      <c r="J51" s="428"/>
      <c r="K51" s="428"/>
      <c r="L51" s="428"/>
      <c r="M51" s="428"/>
      <c r="N51" s="425"/>
      <c r="O51" s="198"/>
      <c r="P51" s="425"/>
      <c r="Q51" s="198"/>
      <c r="R51" s="198"/>
      <c r="S51" s="198"/>
      <c r="T51" s="198"/>
      <c r="U51" s="198"/>
      <c r="V51" s="198"/>
      <c r="W51" s="198"/>
      <c r="X51" s="198"/>
      <c r="Y51" s="650"/>
      <c r="Z51" s="212"/>
      <c r="AA51" s="213"/>
      <c r="AB51" s="553"/>
      <c r="AC51" s="553"/>
      <c r="AD51" s="553"/>
      <c r="AE51" s="643"/>
      <c r="AF51" s="39"/>
      <c r="AG51" s="581"/>
      <c r="AH51" s="581"/>
      <c r="AI51" s="581"/>
      <c r="AJ51" s="574"/>
      <c r="AK51" s="565"/>
      <c r="AL51" s="565"/>
      <c r="AM51" s="565"/>
      <c r="AN51" s="574"/>
      <c r="AO51" s="630"/>
    </row>
  </sheetData>
  <mergeCells count="314">
    <mergeCell ref="AO37:AO39"/>
    <mergeCell ref="B40:B42"/>
    <mergeCell ref="C40:C42"/>
    <mergeCell ref="D40:D42"/>
    <mergeCell ref="F40:F42"/>
    <mergeCell ref="G40:G42"/>
    <mergeCell ref="X40:X42"/>
    <mergeCell ref="Y40:Y42"/>
    <mergeCell ref="Z40:Z42"/>
    <mergeCell ref="AB40:AB42"/>
    <mergeCell ref="AC40:AC42"/>
    <mergeCell ref="AD40:AD42"/>
    <mergeCell ref="AE40:AE42"/>
    <mergeCell ref="AG40:AG42"/>
    <mergeCell ref="AH40:AH42"/>
    <mergeCell ref="AI40:AI42"/>
    <mergeCell ref="AJ40:AJ42"/>
    <mergeCell ref="AK40:AK42"/>
    <mergeCell ref="AL40:AL42"/>
    <mergeCell ref="AM40:AM42"/>
    <mergeCell ref="AN40:AN42"/>
    <mergeCell ref="AO40:AO42"/>
    <mergeCell ref="B37:B39"/>
    <mergeCell ref="C37:C39"/>
    <mergeCell ref="D37:D39"/>
    <mergeCell ref="F37:F39"/>
    <mergeCell ref="G37:G39"/>
    <mergeCell ref="X37:X39"/>
    <mergeCell ref="Y37:Y39"/>
    <mergeCell ref="Z37:Z39"/>
    <mergeCell ref="AB37:AB39"/>
    <mergeCell ref="AK12:AK14"/>
    <mergeCell ref="AJ28:AJ30"/>
    <mergeCell ref="AI28:AI30"/>
    <mergeCell ref="AI25:AI27"/>
    <mergeCell ref="AI22:AI24"/>
    <mergeCell ref="AH28:AH30"/>
    <mergeCell ref="AH25:AH27"/>
    <mergeCell ref="AH22:AH24"/>
    <mergeCell ref="AJ15:AJ18"/>
    <mergeCell ref="AJ19:AJ21"/>
    <mergeCell ref="AJ22:AJ24"/>
    <mergeCell ref="AJ25:AJ27"/>
    <mergeCell ref="AI12:AI14"/>
    <mergeCell ref="D28:D30"/>
    <mergeCell ref="F19:F21"/>
    <mergeCell ref="AG12:AG14"/>
    <mergeCell ref="AD12:AD14"/>
    <mergeCell ref="B28:B30"/>
    <mergeCell ref="C28:C30"/>
    <mergeCell ref="X28:X30"/>
    <mergeCell ref="Y28:Y30"/>
    <mergeCell ref="Z28:Z30"/>
    <mergeCell ref="AE28:AE30"/>
    <mergeCell ref="AG28:AG30"/>
    <mergeCell ref="AA28:AA30"/>
    <mergeCell ref="Y22:Y24"/>
    <mergeCell ref="AG22:AG24"/>
    <mergeCell ref="AB25:AB27"/>
    <mergeCell ref="Y25:Y27"/>
    <mergeCell ref="C22:C24"/>
    <mergeCell ref="D22:D24"/>
    <mergeCell ref="X22:X24"/>
    <mergeCell ref="AB22:AB24"/>
    <mergeCell ref="F25:F27"/>
    <mergeCell ref="Z25:Z27"/>
    <mergeCell ref="AA19:AA21"/>
    <mergeCell ref="AE12:AE14"/>
    <mergeCell ref="B19:B21"/>
    <mergeCell ref="D12:D14"/>
    <mergeCell ref="X12:X14"/>
    <mergeCell ref="Y12:Y14"/>
    <mergeCell ref="Z12:Z14"/>
    <mergeCell ref="AO22:AO24"/>
    <mergeCell ref="AK25:AK27"/>
    <mergeCell ref="AM25:AM27"/>
    <mergeCell ref="AL25:AL27"/>
    <mergeCell ref="AK22:AK24"/>
    <mergeCell ref="AH15:AH18"/>
    <mergeCell ref="AE25:AE27"/>
    <mergeCell ref="AE22:AE24"/>
    <mergeCell ref="AH12:AH14"/>
    <mergeCell ref="AO25:AO27"/>
    <mergeCell ref="AM22:AM24"/>
    <mergeCell ref="B12:B14"/>
    <mergeCell ref="Z19:Z21"/>
    <mergeCell ref="B15:B18"/>
    <mergeCell ref="C15:C18"/>
    <mergeCell ref="D15:D18"/>
    <mergeCell ref="G12:G14"/>
    <mergeCell ref="AN6:AN8"/>
    <mergeCell ref="AN9:AN11"/>
    <mergeCell ref="AO6:AO8"/>
    <mergeCell ref="AO9:AO11"/>
    <mergeCell ref="AO12:AO14"/>
    <mergeCell ref="AO15:AO18"/>
    <mergeCell ref="AO19:AO21"/>
    <mergeCell ref="AL12:AL14"/>
    <mergeCell ref="AL9:AL11"/>
    <mergeCell ref="AL6:AL8"/>
    <mergeCell ref="AL19:AL21"/>
    <mergeCell ref="AK9:AK11"/>
    <mergeCell ref="AM6:AM8"/>
    <mergeCell ref="AM9:AM11"/>
    <mergeCell ref="AM12:AM14"/>
    <mergeCell ref="AM15:AM18"/>
    <mergeCell ref="AM19:AM21"/>
    <mergeCell ref="AK6:AK8"/>
    <mergeCell ref="AO28:AO30"/>
    <mergeCell ref="AI19:AI21"/>
    <mergeCell ref="AI15:AI18"/>
    <mergeCell ref="AK19:AK21"/>
    <mergeCell ref="AK15:AK18"/>
    <mergeCell ref="AJ12:AJ14"/>
    <mergeCell ref="AK28:AK30"/>
    <mergeCell ref="AM28:AM30"/>
    <mergeCell ref="AL28:AL30"/>
    <mergeCell ref="AN28:AN30"/>
    <mergeCell ref="AN12:AN14"/>
    <mergeCell ref="AN15:AN18"/>
    <mergeCell ref="AN19:AN21"/>
    <mergeCell ref="AN22:AN24"/>
    <mergeCell ref="AN25:AN27"/>
    <mergeCell ref="AL22:AL24"/>
    <mergeCell ref="AL15:AL18"/>
    <mergeCell ref="X19:X21"/>
    <mergeCell ref="Y19:Y21"/>
    <mergeCell ref="G15:G18"/>
    <mergeCell ref="Z15:Z18"/>
    <mergeCell ref="C19:C21"/>
    <mergeCell ref="D19:D21"/>
    <mergeCell ref="F15:F18"/>
    <mergeCell ref="F12:F14"/>
    <mergeCell ref="C12:C14"/>
    <mergeCell ref="G19:G21"/>
    <mergeCell ref="Q4:S4"/>
    <mergeCell ref="AB6:AB8"/>
    <mergeCell ref="X15:X18"/>
    <mergeCell ref="AC9:AC11"/>
    <mergeCell ref="AA6:AA8"/>
    <mergeCell ref="AC15:AC18"/>
    <mergeCell ref="F6:F8"/>
    <mergeCell ref="G6:G8"/>
    <mergeCell ref="F9:F11"/>
    <mergeCell ref="Y6:Y8"/>
    <mergeCell ref="G9:G11"/>
    <mergeCell ref="X9:X11"/>
    <mergeCell ref="AB9:AB11"/>
    <mergeCell ref="AC6:AC8"/>
    <mergeCell ref="AC12:AC14"/>
    <mergeCell ref="AB12:AB14"/>
    <mergeCell ref="Z9:Z11"/>
    <mergeCell ref="Z6:Z8"/>
    <mergeCell ref="AA15:AA18"/>
    <mergeCell ref="AA12:AA14"/>
    <mergeCell ref="AB15:AB18"/>
    <mergeCell ref="AA9:AA11"/>
    <mergeCell ref="AI9:AI11"/>
    <mergeCell ref="AI6:AI8"/>
    <mergeCell ref="AJ6:AJ8"/>
    <mergeCell ref="B6:B8"/>
    <mergeCell ref="C6:C8"/>
    <mergeCell ref="D6:D8"/>
    <mergeCell ref="X6:X8"/>
    <mergeCell ref="Y9:Y11"/>
    <mergeCell ref="AD6:AD8"/>
    <mergeCell ref="AE9:AE11"/>
    <mergeCell ref="AE6:AE8"/>
    <mergeCell ref="AG9:AG11"/>
    <mergeCell ref="AJ9:AJ11"/>
    <mergeCell ref="AG6:AG8"/>
    <mergeCell ref="B9:B11"/>
    <mergeCell ref="D9:D11"/>
    <mergeCell ref="C9:C11"/>
    <mergeCell ref="AD9:AD11"/>
    <mergeCell ref="AH9:AH11"/>
    <mergeCell ref="AH6:AH8"/>
    <mergeCell ref="AD15:AD18"/>
    <mergeCell ref="AE15:AE18"/>
    <mergeCell ref="AG19:AG21"/>
    <mergeCell ref="AE19:AE21"/>
    <mergeCell ref="AC28:AC30"/>
    <mergeCell ref="AG15:AG18"/>
    <mergeCell ref="AH19:AH21"/>
    <mergeCell ref="AC25:AC27"/>
    <mergeCell ref="AD25:AD27"/>
    <mergeCell ref="AD19:AD21"/>
    <mergeCell ref="AC19:AC21"/>
    <mergeCell ref="AG25:AG27"/>
    <mergeCell ref="AB19:AB21"/>
    <mergeCell ref="AD22:AD24"/>
    <mergeCell ref="AC22:AC24"/>
    <mergeCell ref="AD28:AD30"/>
    <mergeCell ref="AB28:AB30"/>
    <mergeCell ref="B31:B33"/>
    <mergeCell ref="C31:C33"/>
    <mergeCell ref="D31:D33"/>
    <mergeCell ref="F31:F33"/>
    <mergeCell ref="G31:G33"/>
    <mergeCell ref="X31:X33"/>
    <mergeCell ref="Y31:Y33"/>
    <mergeCell ref="AB31:AB33"/>
    <mergeCell ref="Z31:Z33"/>
    <mergeCell ref="AC31:AC33"/>
    <mergeCell ref="AD31:AD33"/>
    <mergeCell ref="B22:B24"/>
    <mergeCell ref="B25:B27"/>
    <mergeCell ref="C25:C27"/>
    <mergeCell ref="D25:D27"/>
    <mergeCell ref="X25:X27"/>
    <mergeCell ref="G25:G27"/>
    <mergeCell ref="F22:F24"/>
    <mergeCell ref="G22:G24"/>
    <mergeCell ref="AE31:AE33"/>
    <mergeCell ref="AO31:AO33"/>
    <mergeCell ref="AG31:AG33"/>
    <mergeCell ref="AH31:AH33"/>
    <mergeCell ref="AI31:AI33"/>
    <mergeCell ref="AK31:AK33"/>
    <mergeCell ref="AL31:AL33"/>
    <mergeCell ref="AM31:AM33"/>
    <mergeCell ref="AN31:AN33"/>
    <mergeCell ref="AJ31:AJ33"/>
    <mergeCell ref="B34:B36"/>
    <mergeCell ref="C34:C36"/>
    <mergeCell ref="D34:D36"/>
    <mergeCell ref="F34:F36"/>
    <mergeCell ref="G34:G36"/>
    <mergeCell ref="X34:X36"/>
    <mergeCell ref="Y34:Y36"/>
    <mergeCell ref="Z34:Z36"/>
    <mergeCell ref="AB34:AB36"/>
    <mergeCell ref="AO46:AO48"/>
    <mergeCell ref="AM34:AM36"/>
    <mergeCell ref="AN34:AN36"/>
    <mergeCell ref="AO34:AO36"/>
    <mergeCell ref="AC34:AC36"/>
    <mergeCell ref="AD34:AD36"/>
    <mergeCell ref="AE34:AE36"/>
    <mergeCell ref="AG34:AG36"/>
    <mergeCell ref="AH34:AH36"/>
    <mergeCell ref="AI34:AI36"/>
    <mergeCell ref="AJ34:AJ36"/>
    <mergeCell ref="AK34:AK36"/>
    <mergeCell ref="AL34:AL36"/>
    <mergeCell ref="AC37:AC39"/>
    <mergeCell ref="AD37:AD39"/>
    <mergeCell ref="AE37:AE39"/>
    <mergeCell ref="AG37:AG39"/>
    <mergeCell ref="AH37:AH39"/>
    <mergeCell ref="AI37:AI39"/>
    <mergeCell ref="AJ37:AJ39"/>
    <mergeCell ref="AK37:AK39"/>
    <mergeCell ref="AL37:AL39"/>
    <mergeCell ref="AM37:AM39"/>
    <mergeCell ref="AN37:AN39"/>
    <mergeCell ref="AE46:AE48"/>
    <mergeCell ref="AG46:AG48"/>
    <mergeCell ref="AH46:AH48"/>
    <mergeCell ref="AI46:AI48"/>
    <mergeCell ref="AJ46:AJ48"/>
    <mergeCell ref="AK46:AK48"/>
    <mergeCell ref="AL46:AL48"/>
    <mergeCell ref="AM46:AM48"/>
    <mergeCell ref="AN46:AN48"/>
    <mergeCell ref="B46:B48"/>
    <mergeCell ref="C46:C48"/>
    <mergeCell ref="D46:D48"/>
    <mergeCell ref="F46:F48"/>
    <mergeCell ref="G46:G48"/>
    <mergeCell ref="Y46:Y48"/>
    <mergeCell ref="AB46:AB48"/>
    <mergeCell ref="AC46:AC48"/>
    <mergeCell ref="AD46:AD48"/>
    <mergeCell ref="AE49:AE51"/>
    <mergeCell ref="AG49:AG51"/>
    <mergeCell ref="AH49:AH51"/>
    <mergeCell ref="AI49:AI51"/>
    <mergeCell ref="AJ49:AJ51"/>
    <mergeCell ref="AK49:AK51"/>
    <mergeCell ref="AL49:AL51"/>
    <mergeCell ref="AM49:AM51"/>
    <mergeCell ref="B49:B51"/>
    <mergeCell ref="C49:C51"/>
    <mergeCell ref="D49:D51"/>
    <mergeCell ref="F49:F51"/>
    <mergeCell ref="G49:G51"/>
    <mergeCell ref="Y49:Y51"/>
    <mergeCell ref="AB49:AB51"/>
    <mergeCell ref="AC49:AC51"/>
    <mergeCell ref="AN49:AN51"/>
    <mergeCell ref="AO49:AO51"/>
    <mergeCell ref="B43:B45"/>
    <mergeCell ref="C43:C45"/>
    <mergeCell ref="D43:D45"/>
    <mergeCell ref="F43:F45"/>
    <mergeCell ref="G43:G45"/>
    <mergeCell ref="X43:X45"/>
    <mergeCell ref="Y43:Y45"/>
    <mergeCell ref="AB43:AB45"/>
    <mergeCell ref="AC43:AC45"/>
    <mergeCell ref="AD43:AD45"/>
    <mergeCell ref="AE43:AE45"/>
    <mergeCell ref="AG43:AG45"/>
    <mergeCell ref="AH43:AH45"/>
    <mergeCell ref="AI43:AI45"/>
    <mergeCell ref="AJ43:AJ45"/>
    <mergeCell ref="AK43:AK45"/>
    <mergeCell ref="AL43:AL45"/>
    <mergeCell ref="AM43:AM45"/>
    <mergeCell ref="AN43:AN45"/>
    <mergeCell ref="AO43:AO45"/>
    <mergeCell ref="Z43:Z45"/>
    <mergeCell ref="AD49:AD51"/>
  </mergeCells>
  <phoneticPr fontId="6" type="noConversion"/>
  <dataValidations count="2">
    <dataValidation type="list" allowBlank="1" showInputMessage="1" showErrorMessage="1" sqref="L59900:L62598 K6:K62598" xr:uid="{00000000-0002-0000-0600-000000000000}">
      <formula1>priorpost</formula1>
    </dataValidation>
    <dataValidation type="list" allowBlank="1" showInputMessage="1" showErrorMessage="1" sqref="L6:L59899" xr:uid="{00000000-0002-0000-0600-000001000000}">
      <formula1>fi</formula1>
    </dataValidation>
  </dataValidations>
  <printOptions horizontalCentered="1"/>
  <pageMargins left="0.25" right="0.25" top="0.75" bottom="0.75" header="0.3" footer="0.3"/>
  <pageSetup paperSize="8" scale="55" fitToHeight="0" orientation="landscape" r:id="rId1"/>
  <headerFooter alignWithMargins="0">
    <oddHeader>&amp;C&amp;"Times New Roman,Bold"&amp;18CONSULTING SERVICES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autoPageBreaks="0"/>
  </sheetPr>
  <dimension ref="A1:AN47"/>
  <sheetViews>
    <sheetView showGridLines="0" showZeros="0" topLeftCell="A19" zoomScaleNormal="100" workbookViewId="0">
      <selection activeCell="AI33" sqref="AI33:AI35"/>
    </sheetView>
  </sheetViews>
  <sheetFormatPr defaultColWidth="9.1328125" defaultRowHeight="12.75" x14ac:dyDescent="0.35"/>
  <cols>
    <col min="1" max="1" width="8.86328125" style="143" customWidth="1"/>
    <col min="2" max="2" width="4.3984375" style="155" customWidth="1"/>
    <col min="3" max="3" width="12.59765625" style="143" customWidth="1"/>
    <col min="4" max="4" width="21.265625" style="143" customWidth="1"/>
    <col min="5" max="5" width="11.265625" style="156" customWidth="1"/>
    <col min="6" max="10" width="16" style="157" customWidth="1"/>
    <col min="11" max="11" width="10.59765625" style="143" customWidth="1"/>
    <col min="12" max="12" width="8.86328125" style="143" customWidth="1"/>
    <col min="13" max="13" width="12.59765625" style="143" bestFit="1" customWidth="1"/>
    <col min="14" max="15" width="10.86328125" style="143" customWidth="1"/>
    <col min="16" max="17" width="15.265625" style="162" customWidth="1"/>
    <col min="18" max="22" width="13.86328125" style="162" bestFit="1" customWidth="1"/>
    <col min="23" max="23" width="14.265625" style="162" customWidth="1"/>
    <col min="24" max="24" width="14.3984375" style="162" customWidth="1"/>
    <col min="25" max="25" width="13.59765625" style="162" bestFit="1" customWidth="1"/>
    <col min="26" max="26" width="14.3984375" style="163" bestFit="1" customWidth="1"/>
    <col min="27" max="27" width="9.59765625" style="164" customWidth="1"/>
    <col min="28" max="28" width="9.73046875" style="163" customWidth="1"/>
    <col min="29" max="29" width="11" style="163" customWidth="1"/>
    <col min="30" max="30" width="11.86328125" style="163" customWidth="1"/>
    <col min="31" max="31" width="9.3984375" style="143" customWidth="1"/>
    <col min="32" max="32" width="14.73046875" style="143" customWidth="1"/>
    <col min="33" max="33" width="13.86328125" style="162" bestFit="1" customWidth="1"/>
    <col min="34" max="39" width="12.59765625" style="143" customWidth="1"/>
    <col min="40" max="40" width="37.59765625" style="143" customWidth="1"/>
    <col min="41" max="16384" width="9.1328125" style="143"/>
  </cols>
  <sheetData>
    <row r="1" spans="1:40" ht="17.649999999999999" hidden="1" x14ac:dyDescent="0.5">
      <c r="A1" s="135"/>
      <c r="B1" s="136" t="s">
        <v>72</v>
      </c>
      <c r="C1" s="137"/>
      <c r="D1" s="137"/>
      <c r="E1" s="138"/>
      <c r="F1" s="139"/>
      <c r="G1" s="139"/>
      <c r="H1" s="139"/>
      <c r="I1" s="139"/>
      <c r="J1" s="139"/>
      <c r="K1" s="137"/>
      <c r="L1" s="137"/>
      <c r="M1" s="137"/>
      <c r="N1" s="137"/>
      <c r="O1" s="137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2"/>
      <c r="AA1" s="137"/>
      <c r="AB1" s="142"/>
      <c r="AC1" s="142"/>
      <c r="AD1" s="142"/>
      <c r="AE1" s="137"/>
      <c r="AF1" s="137"/>
      <c r="AG1" s="141"/>
      <c r="AH1" s="137"/>
      <c r="AI1" s="137"/>
      <c r="AJ1" s="137"/>
      <c r="AK1" s="137"/>
      <c r="AL1" s="137"/>
      <c r="AM1" s="137"/>
    </row>
    <row r="2" spans="1:40" ht="13.15" hidden="1" x14ac:dyDescent="0.4">
      <c r="A2" s="144"/>
      <c r="B2" s="145" t="str">
        <f>IF(projID="enter Project ID here","Enter Project information on the General sheet",country&amp;" "&amp;projID&amp;": "&amp;projectName&amp;" "&amp;lncr)</f>
        <v>Lebanon IBRD 7010: Greater Beirut Water Supply Project 7967-LE/</v>
      </c>
      <c r="C2" s="146"/>
      <c r="D2" s="146"/>
      <c r="E2" s="147"/>
      <c r="F2" s="148"/>
      <c r="G2" s="148"/>
      <c r="H2" s="148"/>
      <c r="I2" s="148"/>
      <c r="J2" s="148"/>
      <c r="K2" s="146"/>
      <c r="L2" s="146"/>
      <c r="M2" s="146"/>
      <c r="N2" s="146"/>
      <c r="O2" s="146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  <c r="AA2" s="152"/>
      <c r="AB2" s="151"/>
      <c r="AC2" s="151"/>
      <c r="AD2" s="151"/>
      <c r="AE2" s="146"/>
      <c r="AF2" s="146"/>
      <c r="AG2" s="150"/>
      <c r="AH2" s="146"/>
      <c r="AI2" s="146"/>
      <c r="AJ2" s="146"/>
      <c r="AK2" s="146"/>
      <c r="AL2" s="146"/>
      <c r="AM2" s="146"/>
    </row>
    <row r="3" spans="1:40" hidden="1" x14ac:dyDescent="0.35"/>
    <row r="4" spans="1:40" ht="13.15" x14ac:dyDescent="0.4">
      <c r="A4" s="154" t="s">
        <v>95</v>
      </c>
      <c r="O4" s="159" t="s">
        <v>73</v>
      </c>
      <c r="P4" s="160"/>
      <c r="Q4" s="161"/>
    </row>
    <row r="5" spans="1:40" s="173" customFormat="1" ht="78.75" x14ac:dyDescent="0.35">
      <c r="A5" s="166"/>
      <c r="B5" s="167" t="s">
        <v>54</v>
      </c>
      <c r="C5" s="167" t="s">
        <v>64</v>
      </c>
      <c r="D5" s="167" t="s">
        <v>96</v>
      </c>
      <c r="E5" s="167" t="s">
        <v>98</v>
      </c>
      <c r="F5" s="168" t="s">
        <v>74</v>
      </c>
      <c r="G5" s="169" t="s">
        <v>351</v>
      </c>
      <c r="H5" s="169" t="s">
        <v>352</v>
      </c>
      <c r="I5" s="168" t="s">
        <v>354</v>
      </c>
      <c r="J5" s="168" t="s">
        <v>353</v>
      </c>
      <c r="K5" s="167" t="s">
        <v>63</v>
      </c>
      <c r="L5" s="167" t="s">
        <v>105</v>
      </c>
      <c r="M5" s="167" t="s">
        <v>59</v>
      </c>
      <c r="N5" s="167" t="s">
        <v>78</v>
      </c>
      <c r="O5" s="167" t="s">
        <v>75</v>
      </c>
      <c r="P5" s="170" t="s">
        <v>99</v>
      </c>
      <c r="Q5" s="170" t="s">
        <v>100</v>
      </c>
      <c r="R5" s="170" t="s">
        <v>79</v>
      </c>
      <c r="S5" s="170" t="s">
        <v>80</v>
      </c>
      <c r="T5" s="170" t="s">
        <v>81</v>
      </c>
      <c r="U5" s="170" t="s">
        <v>82</v>
      </c>
      <c r="V5" s="170" t="s">
        <v>83</v>
      </c>
      <c r="W5" s="170" t="s">
        <v>112</v>
      </c>
      <c r="X5" s="170" t="s">
        <v>93</v>
      </c>
      <c r="Y5" s="170" t="s">
        <v>92</v>
      </c>
      <c r="Z5" s="171" t="s">
        <v>90</v>
      </c>
      <c r="AA5" s="167" t="s">
        <v>91</v>
      </c>
      <c r="AB5" s="171" t="s">
        <v>357</v>
      </c>
      <c r="AC5" s="171" t="s">
        <v>358</v>
      </c>
      <c r="AD5" s="171" t="s">
        <v>359</v>
      </c>
      <c r="AE5" s="167" t="s">
        <v>84</v>
      </c>
      <c r="AF5" s="167" t="s">
        <v>94</v>
      </c>
      <c r="AG5" s="170" t="s">
        <v>85</v>
      </c>
      <c r="AH5" s="167" t="s">
        <v>86</v>
      </c>
      <c r="AI5" s="167" t="s">
        <v>360</v>
      </c>
      <c r="AJ5" s="167" t="s">
        <v>361</v>
      </c>
      <c r="AK5" s="167" t="s">
        <v>366</v>
      </c>
      <c r="AL5" s="167" t="s">
        <v>362</v>
      </c>
      <c r="AM5" s="167" t="s">
        <v>363</v>
      </c>
      <c r="AN5" s="167" t="s">
        <v>169</v>
      </c>
    </row>
    <row r="6" spans="1:40" x14ac:dyDescent="0.35">
      <c r="A6" s="174" t="s">
        <v>87</v>
      </c>
      <c r="B6" s="712" t="s">
        <v>336</v>
      </c>
      <c r="C6" s="597" t="s">
        <v>471</v>
      </c>
      <c r="D6" s="594" t="s">
        <v>296</v>
      </c>
      <c r="E6" s="578" t="s">
        <v>2</v>
      </c>
      <c r="F6" s="34"/>
      <c r="G6" s="566">
        <v>0.66</v>
      </c>
      <c r="H6" s="566">
        <f>1-G6</f>
        <v>0.33999999999999997</v>
      </c>
      <c r="I6" s="34">
        <f>G6*$F6/($G6+1.1*$H6)</f>
        <v>0</v>
      </c>
      <c r="J6" s="34">
        <f>1.1*H6*$F6/($G6+1.1*$H6)</f>
        <v>0</v>
      </c>
      <c r="K6" s="417" t="s">
        <v>113</v>
      </c>
      <c r="L6" s="417" t="s">
        <v>62</v>
      </c>
      <c r="M6" s="417" t="s">
        <v>289</v>
      </c>
      <c r="N6" s="417" t="s">
        <v>125</v>
      </c>
      <c r="O6" s="421" t="s">
        <v>77</v>
      </c>
      <c r="P6" s="423"/>
      <c r="Q6" s="423"/>
      <c r="R6" s="423"/>
      <c r="S6" s="423"/>
      <c r="T6" s="423"/>
      <c r="U6" s="423"/>
      <c r="V6" s="423"/>
      <c r="W6" s="423">
        <v>41701</v>
      </c>
      <c r="X6" s="423"/>
      <c r="Y6" s="423">
        <v>41716</v>
      </c>
      <c r="Z6" s="560"/>
      <c r="AA6" s="569" t="s">
        <v>315</v>
      </c>
      <c r="AB6" s="551">
        <f>Z6</f>
        <v>0</v>
      </c>
      <c r="AC6" s="551">
        <f>G6*$AB6/($G6+1.1*$H6)</f>
        <v>0</v>
      </c>
      <c r="AD6" s="551">
        <f>1.1*H6*$Z6/($G6+1.1*$H6)</f>
        <v>0</v>
      </c>
      <c r="AE6" s="589" t="s">
        <v>318</v>
      </c>
      <c r="AF6" s="691" t="s">
        <v>319</v>
      </c>
      <c r="AG6" s="423">
        <v>41723</v>
      </c>
      <c r="AH6" s="554">
        <f>Z6</f>
        <v>0</v>
      </c>
      <c r="AI6" s="705">
        <f>G6*$AH6/($G6+1.1*$H6)</f>
        <v>0</v>
      </c>
      <c r="AJ6" s="705">
        <f>1.1*H6*$AH6/($G6+1.1*$H6)</f>
        <v>0</v>
      </c>
      <c r="AK6" s="705">
        <f>AB6-AH6</f>
        <v>0</v>
      </c>
      <c r="AL6" s="705">
        <f>AC6-AI6</f>
        <v>0</v>
      </c>
      <c r="AM6" s="705">
        <f>AD6-AJ6</f>
        <v>0</v>
      </c>
      <c r="AN6" s="602"/>
    </row>
    <row r="7" spans="1:40" x14ac:dyDescent="0.35">
      <c r="A7" s="175" t="s">
        <v>88</v>
      </c>
      <c r="B7" s="710"/>
      <c r="C7" s="590"/>
      <c r="D7" s="590"/>
      <c r="E7" s="579"/>
      <c r="F7" s="35"/>
      <c r="G7" s="567"/>
      <c r="H7" s="567"/>
      <c r="I7" s="35">
        <f>G6*$F7/($G6+1.1*$H6)</f>
        <v>0</v>
      </c>
      <c r="J7" s="35">
        <f>1.1*H6*$F7/($G6+1.1*$H6)</f>
        <v>0</v>
      </c>
      <c r="K7" s="418"/>
      <c r="L7" s="418"/>
      <c r="M7" s="418"/>
      <c r="N7" s="418"/>
      <c r="O7" s="418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561"/>
      <c r="AA7" s="570"/>
      <c r="AB7" s="552"/>
      <c r="AC7" s="552"/>
      <c r="AD7" s="552"/>
      <c r="AE7" s="590"/>
      <c r="AF7" s="590"/>
      <c r="AG7" s="424"/>
      <c r="AH7" s="555"/>
      <c r="AI7" s="706"/>
      <c r="AJ7" s="706"/>
      <c r="AK7" s="706"/>
      <c r="AL7" s="706"/>
      <c r="AM7" s="706"/>
      <c r="AN7" s="603"/>
    </row>
    <row r="8" spans="1:40" x14ac:dyDescent="0.35">
      <c r="A8" s="176" t="s">
        <v>89</v>
      </c>
      <c r="B8" s="711"/>
      <c r="C8" s="592"/>
      <c r="D8" s="592"/>
      <c r="E8" s="580"/>
      <c r="F8" s="36"/>
      <c r="G8" s="568"/>
      <c r="H8" s="568"/>
      <c r="I8" s="36">
        <f>G6*$F8/($G6+1.1*$H6)</f>
        <v>0</v>
      </c>
      <c r="J8" s="36">
        <f>1.1*H6*$F8/($G6+1.1*$H6)</f>
        <v>0</v>
      </c>
      <c r="K8" s="420"/>
      <c r="L8" s="420"/>
      <c r="M8" s="420"/>
      <c r="N8" s="420"/>
      <c r="O8" s="420"/>
      <c r="P8" s="425"/>
      <c r="Q8" s="425"/>
      <c r="R8" s="425"/>
      <c r="S8" s="425"/>
      <c r="T8" s="425"/>
      <c r="U8" s="425"/>
      <c r="V8" s="425"/>
      <c r="W8" s="425">
        <v>41774</v>
      </c>
      <c r="X8" s="425"/>
      <c r="Y8" s="425">
        <v>41744</v>
      </c>
      <c r="Z8" s="562"/>
      <c r="AA8" s="571"/>
      <c r="AB8" s="553"/>
      <c r="AC8" s="553"/>
      <c r="AD8" s="553"/>
      <c r="AE8" s="592"/>
      <c r="AF8" s="592"/>
      <c r="AG8" s="425">
        <v>41782</v>
      </c>
      <c r="AH8" s="556"/>
      <c r="AI8" s="707"/>
      <c r="AJ8" s="707"/>
      <c r="AK8" s="707"/>
      <c r="AL8" s="707"/>
      <c r="AM8" s="707"/>
      <c r="AN8" s="605"/>
    </row>
    <row r="9" spans="1:40" x14ac:dyDescent="0.35">
      <c r="A9" s="174" t="s">
        <v>87</v>
      </c>
      <c r="B9" s="712" t="s">
        <v>337</v>
      </c>
      <c r="C9" s="597" t="s">
        <v>472</v>
      </c>
      <c r="D9" s="594" t="s">
        <v>297</v>
      </c>
      <c r="E9" s="578" t="s">
        <v>2</v>
      </c>
      <c r="F9" s="34"/>
      <c r="G9" s="566">
        <v>0.66</v>
      </c>
      <c r="H9" s="566">
        <f>1-G9</f>
        <v>0.33999999999999997</v>
      </c>
      <c r="I9" s="34">
        <f>G9*$F9/($G9+1.1*$H9)</f>
        <v>0</v>
      </c>
      <c r="J9" s="34">
        <f>1.1*H9*$F9/($G9+1.1*$H9)</f>
        <v>0</v>
      </c>
      <c r="K9" s="417" t="s">
        <v>113</v>
      </c>
      <c r="L9" s="417" t="s">
        <v>62</v>
      </c>
      <c r="M9" s="417" t="s">
        <v>335</v>
      </c>
      <c r="N9" s="417" t="s">
        <v>125</v>
      </c>
      <c r="O9" s="421" t="s">
        <v>77</v>
      </c>
      <c r="P9" s="423"/>
      <c r="Q9" s="423"/>
      <c r="R9" s="423"/>
      <c r="S9" s="423"/>
      <c r="T9" s="423"/>
      <c r="U9" s="423"/>
      <c r="V9" s="423"/>
      <c r="W9" s="423">
        <v>41701</v>
      </c>
      <c r="X9" s="423"/>
      <c r="Y9" s="423">
        <v>41716</v>
      </c>
      <c r="Z9" s="560"/>
      <c r="AA9" s="569"/>
      <c r="AB9" s="551">
        <f>Z9</f>
        <v>0</v>
      </c>
      <c r="AC9" s="551">
        <f>G9*$AB9/($G9+1.1*$H9)</f>
        <v>0</v>
      </c>
      <c r="AD9" s="551">
        <f>1.1*H9*$Z9/($G9+1.1*$H9)</f>
        <v>0</v>
      </c>
      <c r="AE9" s="589"/>
      <c r="AF9" s="589"/>
      <c r="AG9" s="423">
        <v>42004</v>
      </c>
      <c r="AH9" s="621"/>
      <c r="AI9" s="705">
        <f>G9*$AH9/($G9+1.1*$H9)</f>
        <v>0</v>
      </c>
      <c r="AJ9" s="705">
        <f>1.1*H9*$AH9/($G9+1.1*$H9)</f>
        <v>0</v>
      </c>
      <c r="AK9" s="705">
        <f>AB9-AH9</f>
        <v>0</v>
      </c>
      <c r="AL9" s="705">
        <f>AC9-AI9</f>
        <v>0</v>
      </c>
      <c r="AM9" s="705">
        <f>AD9-AJ9</f>
        <v>0</v>
      </c>
      <c r="AN9" s="602" t="s">
        <v>299</v>
      </c>
    </row>
    <row r="10" spans="1:40" x14ac:dyDescent="0.35">
      <c r="A10" s="175" t="s">
        <v>88</v>
      </c>
      <c r="B10" s="710"/>
      <c r="C10" s="590"/>
      <c r="D10" s="590"/>
      <c r="E10" s="579"/>
      <c r="F10" s="35"/>
      <c r="G10" s="567"/>
      <c r="H10" s="567"/>
      <c r="I10" s="35">
        <f>G9*$F10/($G9+1.1*$H9)</f>
        <v>0</v>
      </c>
      <c r="J10" s="35">
        <f>1.1*H9*$F10/($G9+1.1*$H9)</f>
        <v>0</v>
      </c>
      <c r="K10" s="418"/>
      <c r="L10" s="418"/>
      <c r="M10" s="418"/>
      <c r="N10" s="418"/>
      <c r="O10" s="418"/>
      <c r="P10" s="424"/>
      <c r="Q10" s="424"/>
      <c r="R10" s="424"/>
      <c r="S10" s="424"/>
      <c r="T10" s="424"/>
      <c r="U10" s="424"/>
      <c r="V10" s="424"/>
      <c r="W10" s="424">
        <v>41852</v>
      </c>
      <c r="X10" s="424"/>
      <c r="Y10" s="424">
        <f>W10+14</f>
        <v>41866</v>
      </c>
      <c r="Z10" s="561"/>
      <c r="AA10" s="570"/>
      <c r="AB10" s="552"/>
      <c r="AC10" s="552"/>
      <c r="AD10" s="552"/>
      <c r="AE10" s="590"/>
      <c r="AF10" s="590"/>
      <c r="AG10" s="424">
        <f>Y10+7</f>
        <v>41873</v>
      </c>
      <c r="AH10" s="555"/>
      <c r="AI10" s="706"/>
      <c r="AJ10" s="706"/>
      <c r="AK10" s="706"/>
      <c r="AL10" s="706"/>
      <c r="AM10" s="706"/>
      <c r="AN10" s="603"/>
    </row>
    <row r="11" spans="1:40" x14ac:dyDescent="0.35">
      <c r="A11" s="176" t="s">
        <v>89</v>
      </c>
      <c r="B11" s="711"/>
      <c r="C11" s="592"/>
      <c r="D11" s="592"/>
      <c r="E11" s="580"/>
      <c r="F11" s="36"/>
      <c r="G11" s="568"/>
      <c r="H11" s="568"/>
      <c r="I11" s="36">
        <f>G9*$F11/($G9+1.1*$H9)</f>
        <v>0</v>
      </c>
      <c r="J11" s="36">
        <f>1.1*H9*$F11/($G9+1.1*$H9)</f>
        <v>0</v>
      </c>
      <c r="K11" s="420"/>
      <c r="L11" s="420"/>
      <c r="M11" s="420"/>
      <c r="N11" s="420"/>
      <c r="O11" s="420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562"/>
      <c r="AA11" s="571"/>
      <c r="AB11" s="553"/>
      <c r="AC11" s="553"/>
      <c r="AD11" s="553"/>
      <c r="AE11" s="592"/>
      <c r="AF11" s="592"/>
      <c r="AG11" s="425"/>
      <c r="AH11" s="556"/>
      <c r="AI11" s="707"/>
      <c r="AJ11" s="707"/>
      <c r="AK11" s="707"/>
      <c r="AL11" s="707"/>
      <c r="AM11" s="707"/>
      <c r="AN11" s="605"/>
    </row>
    <row r="12" spans="1:40" x14ac:dyDescent="0.35">
      <c r="A12" s="174" t="s">
        <v>87</v>
      </c>
      <c r="B12" s="712" t="s">
        <v>338</v>
      </c>
      <c r="C12" s="597" t="s">
        <v>473</v>
      </c>
      <c r="D12" s="594" t="s">
        <v>298</v>
      </c>
      <c r="E12" s="578" t="s">
        <v>2</v>
      </c>
      <c r="F12" s="34"/>
      <c r="G12" s="566">
        <v>0.66</v>
      </c>
      <c r="H12" s="566">
        <f>1-G12</f>
        <v>0.33999999999999997</v>
      </c>
      <c r="I12" s="34">
        <f>G12*$F12/($G12+1.1*$H12)</f>
        <v>0</v>
      </c>
      <c r="J12" s="34">
        <f>1.1*H12*$F12/($G12+1.1*$H12)</f>
        <v>0</v>
      </c>
      <c r="K12" s="417" t="s">
        <v>113</v>
      </c>
      <c r="L12" s="417" t="s">
        <v>62</v>
      </c>
      <c r="M12" s="417" t="s">
        <v>289</v>
      </c>
      <c r="N12" s="417" t="s">
        <v>125</v>
      </c>
      <c r="O12" s="421" t="s">
        <v>77</v>
      </c>
      <c r="P12" s="423"/>
      <c r="Q12" s="423"/>
      <c r="R12" s="423"/>
      <c r="S12" s="423"/>
      <c r="T12" s="423"/>
      <c r="U12" s="423"/>
      <c r="V12" s="423"/>
      <c r="W12" s="423">
        <v>41701</v>
      </c>
      <c r="X12" s="423"/>
      <c r="Y12" s="423">
        <v>41716</v>
      </c>
      <c r="Z12" s="560"/>
      <c r="AA12" s="569"/>
      <c r="AB12" s="551">
        <f>Z12</f>
        <v>0</v>
      </c>
      <c r="AC12" s="551">
        <f>G12*$AB12/($G12+1.1*$H12)</f>
        <v>0</v>
      </c>
      <c r="AD12" s="551">
        <f>1.1*H12*$Z12/($G12+1.1*$H12)</f>
        <v>0</v>
      </c>
      <c r="AE12" s="589"/>
      <c r="AF12" s="589"/>
      <c r="AG12" s="423">
        <v>41723</v>
      </c>
      <c r="AH12" s="621"/>
      <c r="AI12" s="705">
        <f>G12*$AH12/($G12+1.1*$H12)</f>
        <v>0</v>
      </c>
      <c r="AJ12" s="705">
        <f>1.1*H12*$AH12/($G12+1.1*$H12)</f>
        <v>0</v>
      </c>
      <c r="AK12" s="705">
        <f>AB12-AH12</f>
        <v>0</v>
      </c>
      <c r="AL12" s="705">
        <f>AC12-AI12</f>
        <v>0</v>
      </c>
      <c r="AM12" s="705">
        <f>AD12-AJ12</f>
        <v>0</v>
      </c>
      <c r="AN12" s="602"/>
    </row>
    <row r="13" spans="1:40" x14ac:dyDescent="0.35">
      <c r="A13" s="175" t="s">
        <v>88</v>
      </c>
      <c r="B13" s="710"/>
      <c r="C13" s="590"/>
      <c r="D13" s="590"/>
      <c r="E13" s="579"/>
      <c r="F13" s="35"/>
      <c r="G13" s="567"/>
      <c r="H13" s="567"/>
      <c r="I13" s="35">
        <f>G12*$F13/($G12+1.1*$H12)</f>
        <v>0</v>
      </c>
      <c r="J13" s="35">
        <f>1.1*H12*$F13/($G12+1.1*$H12)</f>
        <v>0</v>
      </c>
      <c r="K13" s="418"/>
      <c r="L13" s="418"/>
      <c r="M13" s="418"/>
      <c r="N13" s="418"/>
      <c r="O13" s="418"/>
      <c r="P13" s="424"/>
      <c r="Q13" s="424"/>
      <c r="R13" s="424"/>
      <c r="S13" s="424"/>
      <c r="T13" s="424"/>
      <c r="U13" s="424"/>
      <c r="V13" s="424"/>
      <c r="W13" s="424">
        <v>42217</v>
      </c>
      <c r="X13" s="424"/>
      <c r="Y13" s="424">
        <f>W13+14</f>
        <v>42231</v>
      </c>
      <c r="Z13" s="561"/>
      <c r="AA13" s="570"/>
      <c r="AB13" s="552"/>
      <c r="AC13" s="552"/>
      <c r="AD13" s="552"/>
      <c r="AE13" s="590"/>
      <c r="AF13" s="590"/>
      <c r="AG13" s="424">
        <f>Y13+7</f>
        <v>42238</v>
      </c>
      <c r="AH13" s="555"/>
      <c r="AI13" s="706"/>
      <c r="AJ13" s="706"/>
      <c r="AK13" s="706"/>
      <c r="AL13" s="706"/>
      <c r="AM13" s="706"/>
      <c r="AN13" s="603"/>
    </row>
    <row r="14" spans="1:40" x14ac:dyDescent="0.35">
      <c r="A14" s="176" t="s">
        <v>89</v>
      </c>
      <c r="B14" s="711"/>
      <c r="C14" s="592"/>
      <c r="D14" s="592"/>
      <c r="E14" s="580"/>
      <c r="F14" s="36"/>
      <c r="G14" s="568"/>
      <c r="H14" s="568"/>
      <c r="I14" s="36">
        <f>G12*$F14/($G12+1.1*$H12)</f>
        <v>0</v>
      </c>
      <c r="J14" s="36">
        <f>1.1*H12*$F14/($G12+1.1*$H12)</f>
        <v>0</v>
      </c>
      <c r="K14" s="420"/>
      <c r="L14" s="420"/>
      <c r="M14" s="420"/>
      <c r="N14" s="420"/>
      <c r="O14" s="420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562"/>
      <c r="AA14" s="571"/>
      <c r="AB14" s="553"/>
      <c r="AC14" s="553"/>
      <c r="AD14" s="553"/>
      <c r="AE14" s="592"/>
      <c r="AF14" s="592"/>
      <c r="AG14" s="425"/>
      <c r="AH14" s="556"/>
      <c r="AI14" s="707"/>
      <c r="AJ14" s="707"/>
      <c r="AK14" s="707"/>
      <c r="AL14" s="707"/>
      <c r="AM14" s="707"/>
      <c r="AN14" s="605"/>
    </row>
    <row r="15" spans="1:40" x14ac:dyDescent="0.35">
      <c r="A15" s="174" t="s">
        <v>87</v>
      </c>
      <c r="B15" s="712" t="s">
        <v>339</v>
      </c>
      <c r="C15" s="597" t="s">
        <v>474</v>
      </c>
      <c r="D15" s="594" t="s">
        <v>346</v>
      </c>
      <c r="E15" s="578" t="s">
        <v>2</v>
      </c>
      <c r="F15" s="34"/>
      <c r="G15" s="566">
        <v>0.66</v>
      </c>
      <c r="H15" s="566">
        <f>1-G15</f>
        <v>0.33999999999999997</v>
      </c>
      <c r="I15" s="34">
        <f>G15*$F15/($G15+1.1*$H15)</f>
        <v>0</v>
      </c>
      <c r="J15" s="34">
        <f>1.1*H15*$F15/($G15+1.1*$H15)</f>
        <v>0</v>
      </c>
      <c r="K15" s="417" t="s">
        <v>113</v>
      </c>
      <c r="L15" s="417" t="s">
        <v>62</v>
      </c>
      <c r="M15" s="417" t="s">
        <v>289</v>
      </c>
      <c r="N15" s="417" t="s">
        <v>125</v>
      </c>
      <c r="O15" s="421" t="s">
        <v>77</v>
      </c>
      <c r="P15" s="423"/>
      <c r="Q15" s="423"/>
      <c r="R15" s="423"/>
      <c r="S15" s="423"/>
      <c r="T15" s="423"/>
      <c r="U15" s="423"/>
      <c r="V15" s="423"/>
      <c r="W15" s="423">
        <v>41701</v>
      </c>
      <c r="X15" s="423"/>
      <c r="Y15" s="423">
        <v>41716</v>
      </c>
      <c r="Z15" s="560"/>
      <c r="AA15" s="569"/>
      <c r="AB15" s="551">
        <f>Z15</f>
        <v>0</v>
      </c>
      <c r="AC15" s="551">
        <f>G15*$AB15/($G15+1.1*$H15)</f>
        <v>0</v>
      </c>
      <c r="AD15" s="551">
        <f>1.1*H15*$Z15/($G15+1.1*$H15)</f>
        <v>0</v>
      </c>
      <c r="AE15" s="589"/>
      <c r="AF15" s="589"/>
      <c r="AG15" s="423">
        <v>41723</v>
      </c>
      <c r="AH15" s="621"/>
      <c r="AI15" s="705">
        <f>G15*$AH15/($G15+1.1*$H15)</f>
        <v>0</v>
      </c>
      <c r="AJ15" s="705">
        <f>1.1*H15*$AH15/($G15+1.1*$H15)</f>
        <v>0</v>
      </c>
      <c r="AK15" s="705">
        <f>AB15-AH15</f>
        <v>0</v>
      </c>
      <c r="AL15" s="705">
        <f>AC15-AI15</f>
        <v>0</v>
      </c>
      <c r="AM15" s="705">
        <f>AD15-AJ15</f>
        <v>0</v>
      </c>
      <c r="AN15" s="602"/>
    </row>
    <row r="16" spans="1:40" x14ac:dyDescent="0.35">
      <c r="A16" s="175" t="s">
        <v>88</v>
      </c>
      <c r="B16" s="710"/>
      <c r="C16" s="590"/>
      <c r="D16" s="590"/>
      <c r="E16" s="579"/>
      <c r="F16" s="35"/>
      <c r="G16" s="567"/>
      <c r="H16" s="567"/>
      <c r="I16" s="35">
        <f>G15*$F16/($G15+1.1*$H15)</f>
        <v>0</v>
      </c>
      <c r="J16" s="35">
        <f>1.1*H15*$F16/($G15+1.1*$H15)</f>
        <v>0</v>
      </c>
      <c r="K16" s="418"/>
      <c r="L16" s="418"/>
      <c r="M16" s="418"/>
      <c r="N16" s="418"/>
      <c r="O16" s="418"/>
      <c r="P16" s="424"/>
      <c r="Q16" s="424"/>
      <c r="R16" s="424"/>
      <c r="S16" s="424"/>
      <c r="T16" s="424"/>
      <c r="U16" s="424"/>
      <c r="V16" s="424"/>
      <c r="W16" s="424">
        <v>41852</v>
      </c>
      <c r="X16" s="424"/>
      <c r="Y16" s="424">
        <f>W16+14</f>
        <v>41866</v>
      </c>
      <c r="Z16" s="561"/>
      <c r="AA16" s="570"/>
      <c r="AB16" s="552"/>
      <c r="AC16" s="552"/>
      <c r="AD16" s="552"/>
      <c r="AE16" s="590"/>
      <c r="AF16" s="590"/>
      <c r="AG16" s="424">
        <f>Y16+7</f>
        <v>41873</v>
      </c>
      <c r="AH16" s="555"/>
      <c r="AI16" s="706"/>
      <c r="AJ16" s="706"/>
      <c r="AK16" s="706"/>
      <c r="AL16" s="706"/>
      <c r="AM16" s="706"/>
      <c r="AN16" s="603"/>
    </row>
    <row r="17" spans="1:40" x14ac:dyDescent="0.35">
      <c r="A17" s="176" t="s">
        <v>89</v>
      </c>
      <c r="B17" s="711"/>
      <c r="C17" s="592"/>
      <c r="D17" s="592"/>
      <c r="E17" s="580"/>
      <c r="F17" s="36"/>
      <c r="G17" s="568"/>
      <c r="H17" s="568"/>
      <c r="I17" s="36">
        <f>G15*$F17/($G15+1.1*$H15)</f>
        <v>0</v>
      </c>
      <c r="J17" s="36">
        <f>1.1*H15*$F17/($G15+1.1*$H15)</f>
        <v>0</v>
      </c>
      <c r="K17" s="420"/>
      <c r="L17" s="420"/>
      <c r="M17" s="420"/>
      <c r="N17" s="420"/>
      <c r="O17" s="420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562"/>
      <c r="AA17" s="571"/>
      <c r="AB17" s="553"/>
      <c r="AC17" s="553"/>
      <c r="AD17" s="553"/>
      <c r="AE17" s="592"/>
      <c r="AF17" s="592"/>
      <c r="AG17" s="425"/>
      <c r="AH17" s="556"/>
      <c r="AI17" s="707"/>
      <c r="AJ17" s="707"/>
      <c r="AK17" s="707"/>
      <c r="AL17" s="707"/>
      <c r="AM17" s="707"/>
      <c r="AN17" s="605"/>
    </row>
    <row r="18" spans="1:40" x14ac:dyDescent="0.35">
      <c r="A18" s="174" t="s">
        <v>87</v>
      </c>
      <c r="B18" s="712" t="s">
        <v>340</v>
      </c>
      <c r="C18" s="597" t="s">
        <v>475</v>
      </c>
      <c r="D18" s="594" t="s">
        <v>347</v>
      </c>
      <c r="E18" s="578" t="s">
        <v>2</v>
      </c>
      <c r="F18" s="34"/>
      <c r="G18" s="566">
        <v>0.66</v>
      </c>
      <c r="H18" s="566">
        <f>1-G18</f>
        <v>0.33999999999999997</v>
      </c>
      <c r="I18" s="34">
        <f>G18*$F18/($G18+1.1*$H18)</f>
        <v>0</v>
      </c>
      <c r="J18" s="34">
        <f>1.1*H18*$F18/($G18+1.1*$H18)</f>
        <v>0</v>
      </c>
      <c r="K18" s="417" t="s">
        <v>113</v>
      </c>
      <c r="L18" s="417" t="s">
        <v>62</v>
      </c>
      <c r="M18" s="417" t="s">
        <v>335</v>
      </c>
      <c r="N18" s="417" t="s">
        <v>125</v>
      </c>
      <c r="O18" s="421" t="s">
        <v>77</v>
      </c>
      <c r="P18" s="423"/>
      <c r="Q18" s="423"/>
      <c r="R18" s="423"/>
      <c r="S18" s="423"/>
      <c r="T18" s="423"/>
      <c r="U18" s="423"/>
      <c r="V18" s="423"/>
      <c r="W18" s="423">
        <v>41701</v>
      </c>
      <c r="X18" s="423"/>
      <c r="Y18" s="423">
        <v>41716</v>
      </c>
      <c r="Z18" s="560"/>
      <c r="AA18" s="569"/>
      <c r="AB18" s="551">
        <f>Z18</f>
        <v>0</v>
      </c>
      <c r="AC18" s="551">
        <f>G18*$AB18/($G18+1.1*$H18)</f>
        <v>0</v>
      </c>
      <c r="AD18" s="551">
        <f>1.1*H18*$Z18/($G18+1.1*$H18)</f>
        <v>0</v>
      </c>
      <c r="AE18" s="589"/>
      <c r="AF18" s="589"/>
      <c r="AG18" s="423">
        <v>42004</v>
      </c>
      <c r="AH18" s="621"/>
      <c r="AI18" s="705">
        <f>G18*$AH18/($G18+1.1*$H18)</f>
        <v>0</v>
      </c>
      <c r="AJ18" s="705">
        <f>1.1*H18*$AH18/($G18+1.1*$H18)</f>
        <v>0</v>
      </c>
      <c r="AK18" s="705">
        <f>AB18-AH18</f>
        <v>0</v>
      </c>
      <c r="AL18" s="705">
        <f>AC18-AI18</f>
        <v>0</v>
      </c>
      <c r="AM18" s="705">
        <f>AD18-AJ18</f>
        <v>0</v>
      </c>
      <c r="AN18" s="602"/>
    </row>
    <row r="19" spans="1:40" x14ac:dyDescent="0.35">
      <c r="A19" s="175" t="s">
        <v>88</v>
      </c>
      <c r="B19" s="710"/>
      <c r="C19" s="590"/>
      <c r="D19" s="590"/>
      <c r="E19" s="579"/>
      <c r="F19" s="35"/>
      <c r="G19" s="567"/>
      <c r="H19" s="567"/>
      <c r="I19" s="35">
        <f>G18*$F19/($G18+1.1*$H18)</f>
        <v>0</v>
      </c>
      <c r="J19" s="35">
        <f>1.1*H18*$F19/($G18+1.1*$H18)</f>
        <v>0</v>
      </c>
      <c r="K19" s="418"/>
      <c r="L19" s="418"/>
      <c r="M19" s="418"/>
      <c r="N19" s="418"/>
      <c r="O19" s="418"/>
      <c r="P19" s="424"/>
      <c r="Q19" s="424"/>
      <c r="R19" s="424"/>
      <c r="S19" s="424"/>
      <c r="T19" s="424"/>
      <c r="U19" s="424"/>
      <c r="V19" s="424"/>
      <c r="W19" s="424">
        <v>41852</v>
      </c>
      <c r="X19" s="424"/>
      <c r="Y19" s="424">
        <f>W19+14</f>
        <v>41866</v>
      </c>
      <c r="Z19" s="561"/>
      <c r="AA19" s="570"/>
      <c r="AB19" s="552"/>
      <c r="AC19" s="552"/>
      <c r="AD19" s="552"/>
      <c r="AE19" s="590"/>
      <c r="AF19" s="590"/>
      <c r="AG19" s="424">
        <f>Y19+7</f>
        <v>41873</v>
      </c>
      <c r="AH19" s="555"/>
      <c r="AI19" s="706"/>
      <c r="AJ19" s="706"/>
      <c r="AK19" s="706"/>
      <c r="AL19" s="706"/>
      <c r="AM19" s="706"/>
      <c r="AN19" s="603"/>
    </row>
    <row r="20" spans="1:40" x14ac:dyDescent="0.35">
      <c r="A20" s="176" t="s">
        <v>89</v>
      </c>
      <c r="B20" s="711"/>
      <c r="C20" s="592"/>
      <c r="D20" s="592"/>
      <c r="E20" s="580"/>
      <c r="F20" s="36"/>
      <c r="G20" s="568"/>
      <c r="H20" s="568"/>
      <c r="I20" s="36">
        <f>G18*$F20/($G18+1.1*$H18)</f>
        <v>0</v>
      </c>
      <c r="J20" s="36">
        <f>1.1*H18*$F20/($G18+1.1*$H18)</f>
        <v>0</v>
      </c>
      <c r="K20" s="420"/>
      <c r="L20" s="420"/>
      <c r="M20" s="420"/>
      <c r="N20" s="420"/>
      <c r="O20" s="420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562"/>
      <c r="AA20" s="571"/>
      <c r="AB20" s="553"/>
      <c r="AC20" s="553"/>
      <c r="AD20" s="553"/>
      <c r="AE20" s="592"/>
      <c r="AF20" s="592"/>
      <c r="AG20" s="425"/>
      <c r="AH20" s="556"/>
      <c r="AI20" s="707"/>
      <c r="AJ20" s="707"/>
      <c r="AK20" s="707"/>
      <c r="AL20" s="707"/>
      <c r="AM20" s="707"/>
      <c r="AN20" s="605"/>
    </row>
    <row r="21" spans="1:40" x14ac:dyDescent="0.35">
      <c r="A21" s="174" t="s">
        <v>87</v>
      </c>
      <c r="B21" s="712" t="s">
        <v>341</v>
      </c>
      <c r="C21" s="597" t="s">
        <v>476</v>
      </c>
      <c r="D21" s="594" t="s">
        <v>348</v>
      </c>
      <c r="E21" s="578" t="s">
        <v>2</v>
      </c>
      <c r="F21" s="34"/>
      <c r="G21" s="566">
        <v>0.66</v>
      </c>
      <c r="H21" s="566">
        <f>1-G21</f>
        <v>0.33999999999999997</v>
      </c>
      <c r="I21" s="34">
        <f>G21*$F21/($G21+1.1*$H21)</f>
        <v>0</v>
      </c>
      <c r="J21" s="34">
        <f>1.1*H21*$F21/($G21+1.1*$H21)</f>
        <v>0</v>
      </c>
      <c r="K21" s="417" t="s">
        <v>113</v>
      </c>
      <c r="L21" s="417" t="s">
        <v>62</v>
      </c>
      <c r="M21" s="417" t="s">
        <v>289</v>
      </c>
      <c r="N21" s="417" t="s">
        <v>125</v>
      </c>
      <c r="O21" s="421" t="s">
        <v>77</v>
      </c>
      <c r="P21" s="423"/>
      <c r="Q21" s="423"/>
      <c r="R21" s="423"/>
      <c r="S21" s="423"/>
      <c r="T21" s="423"/>
      <c r="U21" s="423"/>
      <c r="V21" s="423"/>
      <c r="W21" s="423">
        <v>42034</v>
      </c>
      <c r="X21" s="423"/>
      <c r="Y21" s="423">
        <f>W21+14</f>
        <v>42048</v>
      </c>
      <c r="Z21" s="560"/>
      <c r="AA21" s="569" t="s">
        <v>315</v>
      </c>
      <c r="AB21" s="551">
        <f>Z21</f>
        <v>0</v>
      </c>
      <c r="AC21" s="551"/>
      <c r="AD21" s="551">
        <f>Z21-AC21</f>
        <v>0</v>
      </c>
      <c r="AE21" s="589" t="s">
        <v>502</v>
      </c>
      <c r="AF21" s="610" t="s">
        <v>503</v>
      </c>
      <c r="AG21" s="423"/>
      <c r="AH21" s="554"/>
      <c r="AI21" s="705"/>
      <c r="AJ21" s="705"/>
      <c r="AK21" s="705">
        <f>AB21-AH21</f>
        <v>0</v>
      </c>
      <c r="AL21" s="705">
        <f>AC21-AI21</f>
        <v>0</v>
      </c>
      <c r="AM21" s="705"/>
      <c r="AN21" s="602"/>
    </row>
    <row r="22" spans="1:40" x14ac:dyDescent="0.35">
      <c r="A22" s="175" t="s">
        <v>88</v>
      </c>
      <c r="B22" s="710"/>
      <c r="C22" s="590"/>
      <c r="D22" s="590"/>
      <c r="E22" s="579"/>
      <c r="F22" s="35"/>
      <c r="G22" s="567"/>
      <c r="H22" s="567"/>
      <c r="I22" s="35">
        <f>G21*$F22/($G21+1.1*$H21)</f>
        <v>0</v>
      </c>
      <c r="J22" s="35">
        <f>1.1*H21*$F22/($G21+1.1*$H21)</f>
        <v>0</v>
      </c>
      <c r="K22" s="418"/>
      <c r="L22" s="418"/>
      <c r="M22" s="418"/>
      <c r="N22" s="418"/>
      <c r="O22" s="418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561"/>
      <c r="AA22" s="570"/>
      <c r="AB22" s="552"/>
      <c r="AC22" s="552"/>
      <c r="AD22" s="552"/>
      <c r="AE22" s="590"/>
      <c r="AF22" s="713"/>
      <c r="AG22" s="424"/>
      <c r="AH22" s="555"/>
      <c r="AI22" s="706"/>
      <c r="AJ22" s="706"/>
      <c r="AK22" s="706"/>
      <c r="AL22" s="706"/>
      <c r="AM22" s="706"/>
      <c r="AN22" s="603"/>
    </row>
    <row r="23" spans="1:40" x14ac:dyDescent="0.35">
      <c r="A23" s="176" t="s">
        <v>89</v>
      </c>
      <c r="B23" s="711"/>
      <c r="C23" s="592"/>
      <c r="D23" s="592"/>
      <c r="E23" s="580"/>
      <c r="F23" s="36"/>
      <c r="G23" s="568"/>
      <c r="H23" s="568"/>
      <c r="I23" s="36">
        <f>G21*$F23/($G21+1.1*$H21)</f>
        <v>0</v>
      </c>
      <c r="J23" s="36">
        <f>1.1*H21*$F23/($G21+1.1*$H21)</f>
        <v>0</v>
      </c>
      <c r="K23" s="420"/>
      <c r="L23" s="420"/>
      <c r="M23" s="420"/>
      <c r="N23" s="420"/>
      <c r="O23" s="420"/>
      <c r="P23" s="425"/>
      <c r="Q23" s="425"/>
      <c r="R23" s="425"/>
      <c r="S23" s="425"/>
      <c r="T23" s="425"/>
      <c r="U23" s="425"/>
      <c r="V23" s="425"/>
      <c r="W23" s="425">
        <v>42228</v>
      </c>
      <c r="X23" s="425"/>
      <c r="Y23" s="425">
        <v>42229</v>
      </c>
      <c r="Z23" s="562"/>
      <c r="AA23" s="571"/>
      <c r="AB23" s="553"/>
      <c r="AC23" s="553"/>
      <c r="AD23" s="553"/>
      <c r="AE23" s="592"/>
      <c r="AF23" s="714"/>
      <c r="AG23" s="425">
        <v>42231</v>
      </c>
      <c r="AH23" s="556"/>
      <c r="AI23" s="707"/>
      <c r="AJ23" s="707"/>
      <c r="AK23" s="707"/>
      <c r="AL23" s="707"/>
      <c r="AM23" s="707"/>
      <c r="AN23" s="605"/>
    </row>
    <row r="24" spans="1:40" x14ac:dyDescent="0.35">
      <c r="A24" s="174" t="s">
        <v>87</v>
      </c>
      <c r="B24" s="712" t="s">
        <v>342</v>
      </c>
      <c r="C24" s="597" t="s">
        <v>477</v>
      </c>
      <c r="D24" s="594" t="s">
        <v>349</v>
      </c>
      <c r="E24" s="578" t="s">
        <v>2</v>
      </c>
      <c r="F24" s="34"/>
      <c r="G24" s="566">
        <v>0.66</v>
      </c>
      <c r="H24" s="566">
        <f>1-G24</f>
        <v>0.33999999999999997</v>
      </c>
      <c r="I24" s="34">
        <f>G24*$F24/($G24+1.1*$H24)</f>
        <v>0</v>
      </c>
      <c r="J24" s="34">
        <f>1.1*H24*$F24/($G24+1.1*$H24)</f>
        <v>0</v>
      </c>
      <c r="K24" s="417" t="s">
        <v>113</v>
      </c>
      <c r="L24" s="417" t="s">
        <v>62</v>
      </c>
      <c r="M24" s="417" t="s">
        <v>335</v>
      </c>
      <c r="N24" s="417" t="s">
        <v>125</v>
      </c>
      <c r="O24" s="421" t="s">
        <v>77</v>
      </c>
      <c r="P24" s="423"/>
      <c r="Q24" s="423"/>
      <c r="R24" s="423"/>
      <c r="S24" s="423"/>
      <c r="T24" s="423"/>
      <c r="U24" s="423"/>
      <c r="V24" s="423"/>
      <c r="W24" s="423">
        <v>41701</v>
      </c>
      <c r="X24" s="423"/>
      <c r="Y24" s="423">
        <v>41716</v>
      </c>
      <c r="Z24" s="560"/>
      <c r="AA24" s="569"/>
      <c r="AB24" s="551">
        <f>Z24</f>
        <v>0</v>
      </c>
      <c r="AC24" s="551">
        <f>G24*$AB24/($G24+1.1*$H24)</f>
        <v>0</v>
      </c>
      <c r="AD24" s="551">
        <f>1.1*H24*$Z24/($G24+1.1*$H24)</f>
        <v>0</v>
      </c>
      <c r="AE24" s="589"/>
      <c r="AF24" s="589"/>
      <c r="AG24" s="423">
        <v>42004</v>
      </c>
      <c r="AH24" s="621"/>
      <c r="AI24" s="705">
        <f>G24*$AH24/($G24+1.1*$H24)</f>
        <v>0</v>
      </c>
      <c r="AJ24" s="705">
        <f>1.1*H24*$AH24/($G24+1.1*$H24)</f>
        <v>0</v>
      </c>
      <c r="AK24" s="705">
        <f>AB24-AH24</f>
        <v>0</v>
      </c>
      <c r="AL24" s="705">
        <f>AC24-AI24</f>
        <v>0</v>
      </c>
      <c r="AM24" s="705">
        <f>AD24-AJ24</f>
        <v>0</v>
      </c>
      <c r="AN24" s="602"/>
    </row>
    <row r="25" spans="1:40" x14ac:dyDescent="0.35">
      <c r="A25" s="175" t="s">
        <v>88</v>
      </c>
      <c r="B25" s="710"/>
      <c r="C25" s="590"/>
      <c r="D25" s="590"/>
      <c r="E25" s="579"/>
      <c r="F25" s="35"/>
      <c r="G25" s="567"/>
      <c r="H25" s="567"/>
      <c r="I25" s="35">
        <f>G24*$F25/($G24+1.1*$H24)</f>
        <v>0</v>
      </c>
      <c r="J25" s="35">
        <f>1.1*H24*$F25/($G24+1.1*$H24)</f>
        <v>0</v>
      </c>
      <c r="K25" s="418"/>
      <c r="L25" s="418"/>
      <c r="M25" s="418"/>
      <c r="N25" s="418"/>
      <c r="O25" s="418"/>
      <c r="P25" s="424"/>
      <c r="Q25" s="424"/>
      <c r="R25" s="424"/>
      <c r="S25" s="424"/>
      <c r="T25" s="424"/>
      <c r="U25" s="424"/>
      <c r="V25" s="424"/>
      <c r="W25" s="424">
        <v>42217</v>
      </c>
      <c r="X25" s="424"/>
      <c r="Y25" s="424">
        <f>W25+14</f>
        <v>42231</v>
      </c>
      <c r="Z25" s="561"/>
      <c r="AA25" s="570"/>
      <c r="AB25" s="552"/>
      <c r="AC25" s="552"/>
      <c r="AD25" s="552"/>
      <c r="AE25" s="590"/>
      <c r="AF25" s="590"/>
      <c r="AG25" s="424">
        <f>Y25+7</f>
        <v>42238</v>
      </c>
      <c r="AH25" s="555"/>
      <c r="AI25" s="706"/>
      <c r="AJ25" s="706"/>
      <c r="AK25" s="706"/>
      <c r="AL25" s="706"/>
      <c r="AM25" s="706"/>
      <c r="AN25" s="603"/>
    </row>
    <row r="26" spans="1:40" x14ac:dyDescent="0.35">
      <c r="A26" s="176" t="s">
        <v>89</v>
      </c>
      <c r="B26" s="711"/>
      <c r="C26" s="592"/>
      <c r="D26" s="592"/>
      <c r="E26" s="580"/>
      <c r="F26" s="36"/>
      <c r="G26" s="568"/>
      <c r="H26" s="568"/>
      <c r="I26" s="36">
        <f>G24*$F26/($G24+1.1*$H24)</f>
        <v>0</v>
      </c>
      <c r="J26" s="36">
        <f>1.1*H24*$F26/($G24+1.1*$H24)</f>
        <v>0</v>
      </c>
      <c r="K26" s="420"/>
      <c r="L26" s="420"/>
      <c r="M26" s="420"/>
      <c r="N26" s="420"/>
      <c r="O26" s="420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562"/>
      <c r="AA26" s="571"/>
      <c r="AB26" s="553"/>
      <c r="AC26" s="553"/>
      <c r="AD26" s="553"/>
      <c r="AE26" s="592"/>
      <c r="AF26" s="592"/>
      <c r="AG26" s="425"/>
      <c r="AH26" s="556"/>
      <c r="AI26" s="707"/>
      <c r="AJ26" s="707"/>
      <c r="AK26" s="707"/>
      <c r="AL26" s="707"/>
      <c r="AM26" s="707"/>
      <c r="AN26" s="605"/>
    </row>
    <row r="27" spans="1:40" x14ac:dyDescent="0.35">
      <c r="A27" s="174" t="s">
        <v>87</v>
      </c>
      <c r="B27" s="712" t="s">
        <v>343</v>
      </c>
      <c r="C27" s="597" t="s">
        <v>478</v>
      </c>
      <c r="D27" s="594" t="s">
        <v>350</v>
      </c>
      <c r="E27" s="578" t="s">
        <v>2</v>
      </c>
      <c r="F27" s="34"/>
      <c r="G27" s="566">
        <v>0.66</v>
      </c>
      <c r="H27" s="566">
        <f>1-G27</f>
        <v>0.33999999999999997</v>
      </c>
      <c r="I27" s="34">
        <f>G27*$F27/($G27+1.1*$H27)</f>
        <v>0</v>
      </c>
      <c r="J27" s="34">
        <f>1.1*H27*$F27/($G27+1.1*$H27)</f>
        <v>0</v>
      </c>
      <c r="K27" s="417" t="s">
        <v>113</v>
      </c>
      <c r="L27" s="417" t="s">
        <v>62</v>
      </c>
      <c r="M27" s="417" t="s">
        <v>335</v>
      </c>
      <c r="N27" s="417" t="s">
        <v>125</v>
      </c>
      <c r="O27" s="421" t="s">
        <v>77</v>
      </c>
      <c r="P27" s="423"/>
      <c r="Q27" s="423"/>
      <c r="R27" s="423"/>
      <c r="S27" s="423"/>
      <c r="T27" s="423"/>
      <c r="U27" s="423"/>
      <c r="V27" s="423"/>
      <c r="W27" s="423">
        <v>41701</v>
      </c>
      <c r="X27" s="423"/>
      <c r="Y27" s="423">
        <v>41716</v>
      </c>
      <c r="Z27" s="560"/>
      <c r="AA27" s="569"/>
      <c r="AB27" s="551">
        <f>Z27</f>
        <v>0</v>
      </c>
      <c r="AC27" s="551">
        <f>G27*$AB27/($G27+1.1*$H27)</f>
        <v>0</v>
      </c>
      <c r="AD27" s="551">
        <f>1.1*H27*$Z27/($G27+1.1*$H27)</f>
        <v>0</v>
      </c>
      <c r="AE27" s="589"/>
      <c r="AF27" s="589"/>
      <c r="AG27" s="423">
        <v>42004</v>
      </c>
      <c r="AH27" s="621"/>
      <c r="AI27" s="705">
        <f>G27*$AH27/($G27+1.1*$H27)</f>
        <v>0</v>
      </c>
      <c r="AJ27" s="705">
        <f>1.1*H27*$AH27/($G27+1.1*$H27)</f>
        <v>0</v>
      </c>
      <c r="AK27" s="705">
        <f>AB27-AH27</f>
        <v>0</v>
      </c>
      <c r="AL27" s="705">
        <f>AC27-AI27</f>
        <v>0</v>
      </c>
      <c r="AM27" s="705">
        <f>AD27-AJ27</f>
        <v>0</v>
      </c>
      <c r="AN27" s="602" t="s">
        <v>299</v>
      </c>
    </row>
    <row r="28" spans="1:40" x14ac:dyDescent="0.35">
      <c r="A28" s="175" t="s">
        <v>88</v>
      </c>
      <c r="B28" s="710"/>
      <c r="C28" s="590"/>
      <c r="D28" s="590"/>
      <c r="E28" s="579"/>
      <c r="F28" s="35"/>
      <c r="G28" s="567"/>
      <c r="H28" s="567"/>
      <c r="I28" s="35">
        <f>G27*$F28/($G27+1.1*$H27)</f>
        <v>0</v>
      </c>
      <c r="J28" s="35">
        <f>1.1*H27*$F28/($G27+1.1*$H27)</f>
        <v>0</v>
      </c>
      <c r="K28" s="418"/>
      <c r="L28" s="418"/>
      <c r="M28" s="418"/>
      <c r="N28" s="418"/>
      <c r="O28" s="418"/>
      <c r="P28" s="424"/>
      <c r="Q28" s="424"/>
      <c r="R28" s="424"/>
      <c r="S28" s="424"/>
      <c r="T28" s="424"/>
      <c r="U28" s="424"/>
      <c r="V28" s="424"/>
      <c r="W28" s="424">
        <v>42217</v>
      </c>
      <c r="X28" s="424"/>
      <c r="Y28" s="424">
        <f>W28+14</f>
        <v>42231</v>
      </c>
      <c r="Z28" s="561"/>
      <c r="AA28" s="570"/>
      <c r="AB28" s="552"/>
      <c r="AC28" s="552"/>
      <c r="AD28" s="552"/>
      <c r="AE28" s="590"/>
      <c r="AF28" s="590"/>
      <c r="AG28" s="424">
        <f>Y28+7</f>
        <v>42238</v>
      </c>
      <c r="AH28" s="555"/>
      <c r="AI28" s="706"/>
      <c r="AJ28" s="706"/>
      <c r="AK28" s="706"/>
      <c r="AL28" s="706"/>
      <c r="AM28" s="706"/>
      <c r="AN28" s="603"/>
    </row>
    <row r="29" spans="1:40" x14ac:dyDescent="0.35">
      <c r="A29" s="176" t="s">
        <v>89</v>
      </c>
      <c r="B29" s="711"/>
      <c r="C29" s="592"/>
      <c r="D29" s="592"/>
      <c r="E29" s="580"/>
      <c r="F29" s="36"/>
      <c r="G29" s="568"/>
      <c r="H29" s="568"/>
      <c r="I29" s="36">
        <f>G27*$F29/($G27+1.1*$H27)</f>
        <v>0</v>
      </c>
      <c r="J29" s="36">
        <f>1.1*H27*$F29/($G27+1.1*$H27)</f>
        <v>0</v>
      </c>
      <c r="K29" s="420"/>
      <c r="L29" s="420"/>
      <c r="M29" s="420"/>
      <c r="N29" s="420"/>
      <c r="O29" s="420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562"/>
      <c r="AA29" s="571"/>
      <c r="AB29" s="553"/>
      <c r="AC29" s="553"/>
      <c r="AD29" s="553"/>
      <c r="AE29" s="592"/>
      <c r="AF29" s="592"/>
      <c r="AG29" s="425"/>
      <c r="AH29" s="556"/>
      <c r="AI29" s="707"/>
      <c r="AJ29" s="707"/>
      <c r="AK29" s="707"/>
      <c r="AL29" s="707"/>
      <c r="AM29" s="707"/>
      <c r="AN29" s="605"/>
    </row>
    <row r="30" spans="1:40" x14ac:dyDescent="0.35">
      <c r="A30" s="174" t="s">
        <v>87</v>
      </c>
      <c r="B30" s="712" t="s">
        <v>394</v>
      </c>
      <c r="C30" s="597" t="s">
        <v>504</v>
      </c>
      <c r="D30" s="594" t="s">
        <v>395</v>
      </c>
      <c r="E30" s="578" t="s">
        <v>2</v>
      </c>
      <c r="F30" s="34"/>
      <c r="G30" s="566">
        <v>0.66</v>
      </c>
      <c r="H30" s="566">
        <f>1-G30</f>
        <v>0.33999999999999997</v>
      </c>
      <c r="I30" s="34">
        <f>G30*$F30/($G30+1.1*$H30)</f>
        <v>0</v>
      </c>
      <c r="J30" s="34">
        <f>1.1*H30*$F30/($G30+1.1*$H30)</f>
        <v>0</v>
      </c>
      <c r="K30" s="417" t="s">
        <v>113</v>
      </c>
      <c r="L30" s="417" t="s">
        <v>62</v>
      </c>
      <c r="M30" s="417" t="s">
        <v>335</v>
      </c>
      <c r="N30" s="417" t="s">
        <v>125</v>
      </c>
      <c r="O30" s="421" t="s">
        <v>77</v>
      </c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560"/>
      <c r="AA30" s="627" t="s">
        <v>315</v>
      </c>
      <c r="AB30" s="551">
        <f>Z30</f>
        <v>0</v>
      </c>
      <c r="AC30" s="551">
        <f>G30*$AB30/($G30+1.1*$H30)</f>
        <v>0</v>
      </c>
      <c r="AD30" s="551">
        <f>1.1*H30*$Z30/($G30+1.1*$H30)</f>
        <v>0</v>
      </c>
      <c r="AE30" s="589"/>
      <c r="AF30" s="589"/>
      <c r="AG30" s="423"/>
      <c r="AH30" s="554">
        <f>AB30</f>
        <v>0</v>
      </c>
      <c r="AI30" s="705"/>
      <c r="AJ30" s="705"/>
      <c r="AK30" s="705">
        <f>AB30-AH30</f>
        <v>0</v>
      </c>
      <c r="AL30" s="705">
        <v>0</v>
      </c>
      <c r="AM30" s="705">
        <v>0</v>
      </c>
      <c r="AN30" s="708" t="s">
        <v>493</v>
      </c>
    </row>
    <row r="31" spans="1:40" x14ac:dyDescent="0.35">
      <c r="A31" s="175" t="s">
        <v>88</v>
      </c>
      <c r="B31" s="710"/>
      <c r="C31" s="590"/>
      <c r="D31" s="590"/>
      <c r="E31" s="579"/>
      <c r="F31" s="35"/>
      <c r="G31" s="567"/>
      <c r="H31" s="567"/>
      <c r="I31" s="35">
        <f>G30*$F31/($G30+1.1*$H30)</f>
        <v>0</v>
      </c>
      <c r="J31" s="35">
        <f>1.1*H30*$F31/($G30+1.1*$H30)</f>
        <v>0</v>
      </c>
      <c r="K31" s="418"/>
      <c r="L31" s="418"/>
      <c r="M31" s="418"/>
      <c r="N31" s="418"/>
      <c r="O31" s="418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561"/>
      <c r="AA31" s="570"/>
      <c r="AB31" s="552"/>
      <c r="AC31" s="552"/>
      <c r="AD31" s="552"/>
      <c r="AE31" s="590"/>
      <c r="AF31" s="590"/>
      <c r="AG31" s="424"/>
      <c r="AH31" s="555"/>
      <c r="AI31" s="706"/>
      <c r="AJ31" s="706"/>
      <c r="AK31" s="706"/>
      <c r="AL31" s="706"/>
      <c r="AM31" s="706"/>
      <c r="AN31" s="603"/>
    </row>
    <row r="32" spans="1:40" x14ac:dyDescent="0.35">
      <c r="A32" s="176" t="s">
        <v>89</v>
      </c>
      <c r="B32" s="711"/>
      <c r="C32" s="592"/>
      <c r="D32" s="592"/>
      <c r="E32" s="580"/>
      <c r="F32" s="36"/>
      <c r="G32" s="568"/>
      <c r="H32" s="568"/>
      <c r="I32" s="36">
        <f>G30*$F32/($G30+1.1*$H30)</f>
        <v>0</v>
      </c>
      <c r="J32" s="36">
        <f>1.1*H30*$F32/($G30+1.1*$H30)</f>
        <v>0</v>
      </c>
      <c r="K32" s="420"/>
      <c r="L32" s="420"/>
      <c r="M32" s="420"/>
      <c r="N32" s="420"/>
      <c r="O32" s="420"/>
      <c r="P32" s="425"/>
      <c r="Q32" s="425"/>
      <c r="R32" s="425"/>
      <c r="S32" s="425"/>
      <c r="T32" s="425"/>
      <c r="U32" s="425"/>
      <c r="V32" s="425"/>
      <c r="W32" s="425">
        <v>42005</v>
      </c>
      <c r="X32" s="425"/>
      <c r="Y32" s="425">
        <v>42005</v>
      </c>
      <c r="Z32" s="562"/>
      <c r="AA32" s="571"/>
      <c r="AB32" s="553"/>
      <c r="AC32" s="553"/>
      <c r="AD32" s="553"/>
      <c r="AE32" s="592"/>
      <c r="AF32" s="592"/>
      <c r="AG32" s="425">
        <v>42369</v>
      </c>
      <c r="AH32" s="556"/>
      <c r="AI32" s="707"/>
      <c r="AJ32" s="707"/>
      <c r="AK32" s="707"/>
      <c r="AL32" s="707"/>
      <c r="AM32" s="707"/>
      <c r="AN32" s="605"/>
    </row>
    <row r="33" spans="1:40" ht="12.75" customHeight="1" x14ac:dyDescent="0.35">
      <c r="A33" s="174" t="s">
        <v>87</v>
      </c>
      <c r="B33" s="709" t="s">
        <v>495</v>
      </c>
      <c r="C33" s="597" t="s">
        <v>494</v>
      </c>
      <c r="D33" s="610" t="s">
        <v>496</v>
      </c>
      <c r="E33" s="578" t="s">
        <v>97</v>
      </c>
      <c r="F33" s="34"/>
      <c r="G33" s="566">
        <v>0.66</v>
      </c>
      <c r="H33" s="566">
        <f>1-G33</f>
        <v>0.33999999999999997</v>
      </c>
      <c r="I33" s="34">
        <f>G33*$F33/($G33+1.1*$H33)</f>
        <v>0</v>
      </c>
      <c r="J33" s="34">
        <f>1.1*H33*$F33/($G33+1.1*$H33)</f>
        <v>0</v>
      </c>
      <c r="K33" s="417" t="s">
        <v>113</v>
      </c>
      <c r="L33" s="417" t="s">
        <v>62</v>
      </c>
      <c r="M33" s="417" t="s">
        <v>335</v>
      </c>
      <c r="N33" s="417" t="s">
        <v>125</v>
      </c>
      <c r="O33" s="421" t="s">
        <v>77</v>
      </c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560"/>
      <c r="AA33" s="627" t="s">
        <v>315</v>
      </c>
      <c r="AB33" s="551">
        <f>Z33</f>
        <v>0</v>
      </c>
      <c r="AC33" s="551">
        <f>G33*$AB33/($G33+1.1*$H33)</f>
        <v>0</v>
      </c>
      <c r="AD33" s="551">
        <f>1.1*H33*$Z33/($G33+1.1*$H33)</f>
        <v>0</v>
      </c>
      <c r="AE33" s="589"/>
      <c r="AF33" s="589"/>
      <c r="AG33" s="423"/>
      <c r="AH33" s="554"/>
      <c r="AI33" s="705"/>
      <c r="AJ33" s="705"/>
      <c r="AK33" s="705">
        <f>AB33-AH33</f>
        <v>0</v>
      </c>
      <c r="AL33" s="705">
        <f>AC33-AI33</f>
        <v>0</v>
      </c>
      <c r="AM33" s="705">
        <f>AD33-AJ33</f>
        <v>0</v>
      </c>
      <c r="AN33" s="708" t="s">
        <v>497</v>
      </c>
    </row>
    <row r="34" spans="1:40" x14ac:dyDescent="0.35">
      <c r="A34" s="175" t="s">
        <v>88</v>
      </c>
      <c r="B34" s="710"/>
      <c r="C34" s="590"/>
      <c r="D34" s="590"/>
      <c r="E34" s="579"/>
      <c r="F34" s="35"/>
      <c r="G34" s="567"/>
      <c r="H34" s="567"/>
      <c r="I34" s="35">
        <f>G33*$F34/($G33+1.1*$H33)</f>
        <v>0</v>
      </c>
      <c r="J34" s="35">
        <f>1.1*H33*$F34/($G33+1.1*$H33)</f>
        <v>0</v>
      </c>
      <c r="K34" s="418"/>
      <c r="L34" s="418"/>
      <c r="M34" s="418"/>
      <c r="N34" s="418"/>
      <c r="O34" s="418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561"/>
      <c r="AA34" s="570"/>
      <c r="AB34" s="552"/>
      <c r="AC34" s="552"/>
      <c r="AD34" s="552"/>
      <c r="AE34" s="590"/>
      <c r="AF34" s="590"/>
      <c r="AG34" s="424"/>
      <c r="AH34" s="555"/>
      <c r="AI34" s="706"/>
      <c r="AJ34" s="706"/>
      <c r="AK34" s="706"/>
      <c r="AL34" s="706"/>
      <c r="AM34" s="706"/>
      <c r="AN34" s="603"/>
    </row>
    <row r="35" spans="1:40" x14ac:dyDescent="0.35">
      <c r="A35" s="176" t="s">
        <v>89</v>
      </c>
      <c r="B35" s="711"/>
      <c r="C35" s="592"/>
      <c r="D35" s="592"/>
      <c r="E35" s="580"/>
      <c r="F35" s="36"/>
      <c r="G35" s="568"/>
      <c r="H35" s="568"/>
      <c r="I35" s="36">
        <f>G33*$F35/($G33+1.1*$H33)</f>
        <v>0</v>
      </c>
      <c r="J35" s="36">
        <f>1.1*H33*$F35/($G33+1.1*$H33)</f>
        <v>0</v>
      </c>
      <c r="K35" s="420"/>
      <c r="L35" s="420"/>
      <c r="M35" s="420"/>
      <c r="N35" s="420"/>
      <c r="O35" s="420"/>
      <c r="P35" s="425"/>
      <c r="Q35" s="425"/>
      <c r="R35" s="425"/>
      <c r="S35" s="425"/>
      <c r="T35" s="425"/>
      <c r="U35" s="425"/>
      <c r="V35" s="425"/>
      <c r="W35" s="425">
        <v>42082</v>
      </c>
      <c r="X35" s="425"/>
      <c r="Y35" s="425">
        <v>42082</v>
      </c>
      <c r="Z35" s="562"/>
      <c r="AA35" s="571"/>
      <c r="AB35" s="553"/>
      <c r="AC35" s="553"/>
      <c r="AD35" s="553"/>
      <c r="AE35" s="592"/>
      <c r="AF35" s="592"/>
      <c r="AG35" s="425">
        <v>42082</v>
      </c>
      <c r="AH35" s="556"/>
      <c r="AI35" s="707"/>
      <c r="AJ35" s="707"/>
      <c r="AK35" s="707"/>
      <c r="AL35" s="707"/>
      <c r="AM35" s="707"/>
      <c r="AN35" s="605"/>
    </row>
    <row r="36" spans="1:40" x14ac:dyDescent="0.35">
      <c r="A36" s="174" t="s">
        <v>87</v>
      </c>
      <c r="B36" s="709" t="s">
        <v>536</v>
      </c>
      <c r="C36" s="597" t="s">
        <v>540</v>
      </c>
      <c r="D36" s="610" t="s">
        <v>545</v>
      </c>
      <c r="E36" s="578" t="s">
        <v>2</v>
      </c>
      <c r="F36" s="34"/>
      <c r="G36" s="566">
        <v>0.66</v>
      </c>
      <c r="H36" s="566">
        <f>1-G36</f>
        <v>0.33999999999999997</v>
      </c>
      <c r="I36" s="34">
        <f>G36*$F36/($G36+1.1*$H36)</f>
        <v>0</v>
      </c>
      <c r="J36" s="34">
        <f>1.1*H36*$F36/($G36+1.1*$H36)</f>
        <v>0</v>
      </c>
      <c r="K36" s="417" t="s">
        <v>113</v>
      </c>
      <c r="L36" s="417" t="s">
        <v>62</v>
      </c>
      <c r="M36" s="417" t="s">
        <v>289</v>
      </c>
      <c r="N36" s="417" t="s">
        <v>125</v>
      </c>
      <c r="O36" s="421" t="s">
        <v>77</v>
      </c>
      <c r="P36" s="423"/>
      <c r="Q36" s="423"/>
      <c r="R36" s="423"/>
      <c r="S36" s="423"/>
      <c r="T36" s="423"/>
      <c r="U36" s="423"/>
      <c r="V36" s="423"/>
      <c r="W36" s="423">
        <v>42436</v>
      </c>
      <c r="X36" s="423"/>
      <c r="Y36" s="423">
        <v>42454</v>
      </c>
      <c r="Z36" s="560"/>
      <c r="AA36" s="569"/>
      <c r="AB36" s="551"/>
      <c r="AC36" s="551"/>
      <c r="AD36" s="551"/>
      <c r="AE36" s="589"/>
      <c r="AF36" s="610"/>
      <c r="AG36" s="423">
        <v>42735</v>
      </c>
      <c r="AH36" s="554"/>
      <c r="AI36" s="705">
        <f>G36*$AH36/($G36+1.1*$H36)</f>
        <v>0</v>
      </c>
      <c r="AJ36" s="705">
        <f>1.1*H36*$AH36/($G36+1.1*$H36)</f>
        <v>0</v>
      </c>
      <c r="AK36" s="705">
        <f>AB36-AH36</f>
        <v>0</v>
      </c>
      <c r="AL36" s="705">
        <f>AC36-AI36</f>
        <v>0</v>
      </c>
      <c r="AM36" s="705">
        <f>AD36-AJ36</f>
        <v>0</v>
      </c>
      <c r="AN36" s="602"/>
    </row>
    <row r="37" spans="1:40" x14ac:dyDescent="0.35">
      <c r="A37" s="175" t="s">
        <v>88</v>
      </c>
      <c r="B37" s="710"/>
      <c r="C37" s="590"/>
      <c r="D37" s="590"/>
      <c r="E37" s="579"/>
      <c r="F37" s="35"/>
      <c r="G37" s="567"/>
      <c r="H37" s="567"/>
      <c r="I37" s="35">
        <f>G36*$F37/($G36+1.1*$H36)</f>
        <v>0</v>
      </c>
      <c r="J37" s="35">
        <f>1.1*H36*$F37/($G36+1.1*$H36)</f>
        <v>0</v>
      </c>
      <c r="K37" s="418"/>
      <c r="L37" s="418"/>
      <c r="M37" s="418"/>
      <c r="N37" s="418"/>
      <c r="O37" s="418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561"/>
      <c r="AA37" s="570"/>
      <c r="AB37" s="552"/>
      <c r="AC37" s="552"/>
      <c r="AD37" s="552"/>
      <c r="AE37" s="590"/>
      <c r="AF37" s="713"/>
      <c r="AG37" s="424"/>
      <c r="AH37" s="555"/>
      <c r="AI37" s="706"/>
      <c r="AJ37" s="706"/>
      <c r="AK37" s="706"/>
      <c r="AL37" s="706"/>
      <c r="AM37" s="706"/>
      <c r="AN37" s="603"/>
    </row>
    <row r="38" spans="1:40" x14ac:dyDescent="0.35">
      <c r="A38" s="176" t="s">
        <v>89</v>
      </c>
      <c r="B38" s="711"/>
      <c r="C38" s="592"/>
      <c r="D38" s="592"/>
      <c r="E38" s="580"/>
      <c r="F38" s="36"/>
      <c r="G38" s="568"/>
      <c r="H38" s="568"/>
      <c r="I38" s="36">
        <f>G36*$F38/($G36+1.1*$H36)</f>
        <v>0</v>
      </c>
      <c r="J38" s="36">
        <f>1.1*H36*$F38/($G36+1.1*$H36)</f>
        <v>0</v>
      </c>
      <c r="K38" s="420"/>
      <c r="L38" s="420"/>
      <c r="M38" s="420"/>
      <c r="N38" s="420"/>
      <c r="O38" s="420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562"/>
      <c r="AA38" s="571"/>
      <c r="AB38" s="553"/>
      <c r="AC38" s="553"/>
      <c r="AD38" s="553"/>
      <c r="AE38" s="592"/>
      <c r="AF38" s="714"/>
      <c r="AG38" s="425"/>
      <c r="AH38" s="556"/>
      <c r="AI38" s="707"/>
      <c r="AJ38" s="707"/>
      <c r="AK38" s="707"/>
      <c r="AL38" s="707"/>
      <c r="AM38" s="707"/>
      <c r="AN38" s="605"/>
    </row>
    <row r="39" spans="1:40" x14ac:dyDescent="0.35">
      <c r="A39" s="174" t="s">
        <v>87</v>
      </c>
      <c r="B39" s="709" t="s">
        <v>537</v>
      </c>
      <c r="C39" s="597" t="s">
        <v>541</v>
      </c>
      <c r="D39" s="610" t="s">
        <v>546</v>
      </c>
      <c r="E39" s="578" t="s">
        <v>2</v>
      </c>
      <c r="F39" s="34"/>
      <c r="G39" s="566">
        <v>0.66</v>
      </c>
      <c r="H39" s="566">
        <f>1-G39</f>
        <v>0.33999999999999997</v>
      </c>
      <c r="I39" s="34">
        <f>G39*$F39/($G39+1.1*$H39)</f>
        <v>0</v>
      </c>
      <c r="J39" s="34">
        <f>1.1*H39*$F39/($G39+1.1*$H39)</f>
        <v>0</v>
      </c>
      <c r="K39" s="417" t="s">
        <v>113</v>
      </c>
      <c r="L39" s="417" t="s">
        <v>62</v>
      </c>
      <c r="M39" s="417" t="s">
        <v>335</v>
      </c>
      <c r="N39" s="417" t="s">
        <v>125</v>
      </c>
      <c r="O39" s="421" t="s">
        <v>77</v>
      </c>
      <c r="P39" s="423"/>
      <c r="Q39" s="423"/>
      <c r="R39" s="423"/>
      <c r="S39" s="423"/>
      <c r="T39" s="423"/>
      <c r="U39" s="423"/>
      <c r="V39" s="423"/>
      <c r="W39" s="423">
        <v>42436</v>
      </c>
      <c r="X39" s="423"/>
      <c r="Y39" s="423">
        <v>42454</v>
      </c>
      <c r="Z39" s="560"/>
      <c r="AA39" s="569"/>
      <c r="AB39" s="551">
        <f>Z39</f>
        <v>0</v>
      </c>
      <c r="AC39" s="551">
        <f>G39*$AB39/($G39+1.1*$H39)</f>
        <v>0</v>
      </c>
      <c r="AD39" s="551">
        <f>1.1*H39*$Z39/($G39+1.1*$H39)</f>
        <v>0</v>
      </c>
      <c r="AE39" s="589"/>
      <c r="AF39" s="589"/>
      <c r="AG39" s="423">
        <v>42735</v>
      </c>
      <c r="AH39" s="621"/>
      <c r="AI39" s="705">
        <f>G39*$AH39/($G39+1.1*$H39)</f>
        <v>0</v>
      </c>
      <c r="AJ39" s="705">
        <f>1.1*H39*$AH39/($G39+1.1*$H39)</f>
        <v>0</v>
      </c>
      <c r="AK39" s="705">
        <f>AB39-AH39</f>
        <v>0</v>
      </c>
      <c r="AL39" s="705">
        <f>AC39-AI39</f>
        <v>0</v>
      </c>
      <c r="AM39" s="705">
        <f>AD39-AJ39</f>
        <v>0</v>
      </c>
      <c r="AN39" s="602"/>
    </row>
    <row r="40" spans="1:40" x14ac:dyDescent="0.35">
      <c r="A40" s="175" t="s">
        <v>88</v>
      </c>
      <c r="B40" s="710"/>
      <c r="C40" s="590"/>
      <c r="D40" s="590"/>
      <c r="E40" s="579"/>
      <c r="F40" s="35"/>
      <c r="G40" s="567"/>
      <c r="H40" s="567"/>
      <c r="I40" s="35">
        <f>G39*$F40/($G39+1.1*$H39)</f>
        <v>0</v>
      </c>
      <c r="J40" s="35">
        <f>1.1*H39*$F40/($G39+1.1*$H39)</f>
        <v>0</v>
      </c>
      <c r="K40" s="418"/>
      <c r="L40" s="418"/>
      <c r="M40" s="418"/>
      <c r="N40" s="418"/>
      <c r="O40" s="418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561"/>
      <c r="AA40" s="570"/>
      <c r="AB40" s="552"/>
      <c r="AC40" s="552"/>
      <c r="AD40" s="552"/>
      <c r="AE40" s="590"/>
      <c r="AF40" s="590"/>
      <c r="AG40" s="424"/>
      <c r="AH40" s="555"/>
      <c r="AI40" s="706"/>
      <c r="AJ40" s="706"/>
      <c r="AK40" s="706"/>
      <c r="AL40" s="706"/>
      <c r="AM40" s="706"/>
      <c r="AN40" s="603"/>
    </row>
    <row r="41" spans="1:40" x14ac:dyDescent="0.35">
      <c r="A41" s="176" t="s">
        <v>89</v>
      </c>
      <c r="B41" s="711"/>
      <c r="C41" s="592"/>
      <c r="D41" s="592"/>
      <c r="E41" s="580"/>
      <c r="F41" s="36"/>
      <c r="G41" s="568"/>
      <c r="H41" s="568"/>
      <c r="I41" s="36">
        <f>G39*$F41/($G39+1.1*$H39)</f>
        <v>0</v>
      </c>
      <c r="J41" s="36">
        <f>1.1*H39*$F41/($G39+1.1*$H39)</f>
        <v>0</v>
      </c>
      <c r="K41" s="420"/>
      <c r="L41" s="420"/>
      <c r="M41" s="420"/>
      <c r="N41" s="420"/>
      <c r="O41" s="420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562"/>
      <c r="AA41" s="571"/>
      <c r="AB41" s="553"/>
      <c r="AC41" s="553"/>
      <c r="AD41" s="553"/>
      <c r="AE41" s="592"/>
      <c r="AF41" s="592"/>
      <c r="AG41" s="425"/>
      <c r="AH41" s="556"/>
      <c r="AI41" s="707"/>
      <c r="AJ41" s="707"/>
      <c r="AK41" s="707"/>
      <c r="AL41" s="707"/>
      <c r="AM41" s="707"/>
      <c r="AN41" s="605"/>
    </row>
    <row r="42" spans="1:40" x14ac:dyDescent="0.35">
      <c r="A42" s="174" t="s">
        <v>87</v>
      </c>
      <c r="B42" s="709" t="s">
        <v>538</v>
      </c>
      <c r="C42" s="597" t="s">
        <v>542</v>
      </c>
      <c r="D42" s="610" t="s">
        <v>684</v>
      </c>
      <c r="E42" s="578" t="s">
        <v>2</v>
      </c>
      <c r="F42" s="34"/>
      <c r="G42" s="566">
        <v>0.66</v>
      </c>
      <c r="H42" s="566">
        <f>1-G42</f>
        <v>0.33999999999999997</v>
      </c>
      <c r="I42" s="34">
        <f>G42*$F42/($G42+1.1*$H42)</f>
        <v>0</v>
      </c>
      <c r="J42" s="34">
        <f>1.1*H42*$F42/($G42+1.1*$H42)</f>
        <v>0</v>
      </c>
      <c r="K42" s="417" t="s">
        <v>113</v>
      </c>
      <c r="L42" s="417" t="s">
        <v>62</v>
      </c>
      <c r="M42" s="417" t="s">
        <v>335</v>
      </c>
      <c r="N42" s="417" t="s">
        <v>125</v>
      </c>
      <c r="O42" s="421" t="s">
        <v>77</v>
      </c>
      <c r="P42" s="423"/>
      <c r="Q42" s="423"/>
      <c r="R42" s="423"/>
      <c r="S42" s="423"/>
      <c r="T42" s="423"/>
      <c r="U42" s="423"/>
      <c r="V42" s="423"/>
      <c r="W42" s="423">
        <v>42436</v>
      </c>
      <c r="X42" s="423"/>
      <c r="Y42" s="423">
        <v>42454</v>
      </c>
      <c r="Z42" s="560"/>
      <c r="AA42" s="569"/>
      <c r="AB42" s="551">
        <f>Z42</f>
        <v>0</v>
      </c>
      <c r="AC42" s="551">
        <f>G42*$AB42/($G42+1.1*$H42)</f>
        <v>0</v>
      </c>
      <c r="AD42" s="551">
        <f>1.1*H42*$Z42/($G42+1.1*$H42)</f>
        <v>0</v>
      </c>
      <c r="AE42" s="589"/>
      <c r="AF42" s="589"/>
      <c r="AG42" s="423">
        <v>43830</v>
      </c>
      <c r="AH42" s="621"/>
      <c r="AI42" s="705">
        <f>G42*$AH42/($G42+1.1*$H42)</f>
        <v>0</v>
      </c>
      <c r="AJ42" s="705">
        <f>1.1*H42*$AH42/($G42+1.1*$H42)</f>
        <v>0</v>
      </c>
      <c r="AK42" s="705">
        <f>AB42-AH42</f>
        <v>0</v>
      </c>
      <c r="AL42" s="705">
        <f>AC42-AI42</f>
        <v>0</v>
      </c>
      <c r="AM42" s="705">
        <f>AD42-AJ42</f>
        <v>0</v>
      </c>
      <c r="AN42" s="715" t="s">
        <v>685</v>
      </c>
    </row>
    <row r="43" spans="1:40" x14ac:dyDescent="0.35">
      <c r="A43" s="175" t="s">
        <v>88</v>
      </c>
      <c r="B43" s="710"/>
      <c r="C43" s="590"/>
      <c r="D43" s="590"/>
      <c r="E43" s="579"/>
      <c r="F43" s="35"/>
      <c r="G43" s="567"/>
      <c r="H43" s="567"/>
      <c r="I43" s="35">
        <f>G42*$F43/($G42+1.1*$H42)</f>
        <v>0</v>
      </c>
      <c r="J43" s="35">
        <f>1.1*H42*$F43/($G42+1.1*$H42)</f>
        <v>0</v>
      </c>
      <c r="K43" s="418"/>
      <c r="L43" s="418"/>
      <c r="M43" s="418"/>
      <c r="N43" s="418"/>
      <c r="O43" s="418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561"/>
      <c r="AA43" s="570"/>
      <c r="AB43" s="552"/>
      <c r="AC43" s="552"/>
      <c r="AD43" s="552"/>
      <c r="AE43" s="590"/>
      <c r="AF43" s="590"/>
      <c r="AG43" s="424"/>
      <c r="AH43" s="555"/>
      <c r="AI43" s="706"/>
      <c r="AJ43" s="706"/>
      <c r="AK43" s="706"/>
      <c r="AL43" s="706"/>
      <c r="AM43" s="706"/>
      <c r="AN43" s="716"/>
    </row>
    <row r="44" spans="1:40" x14ac:dyDescent="0.35">
      <c r="A44" s="176" t="s">
        <v>89</v>
      </c>
      <c r="B44" s="711"/>
      <c r="C44" s="592"/>
      <c r="D44" s="592"/>
      <c r="E44" s="580"/>
      <c r="F44" s="36"/>
      <c r="G44" s="568"/>
      <c r="H44" s="568"/>
      <c r="I44" s="36">
        <f>G42*$F44/($G42+1.1*$H42)</f>
        <v>0</v>
      </c>
      <c r="J44" s="36">
        <f>1.1*H42*$F44/($G42+1.1*$H42)</f>
        <v>0</v>
      </c>
      <c r="K44" s="420"/>
      <c r="L44" s="420"/>
      <c r="M44" s="420"/>
      <c r="N44" s="420"/>
      <c r="O44" s="420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562"/>
      <c r="AA44" s="571"/>
      <c r="AB44" s="553"/>
      <c r="AC44" s="553"/>
      <c r="AD44" s="553"/>
      <c r="AE44" s="592"/>
      <c r="AF44" s="592"/>
      <c r="AG44" s="425"/>
      <c r="AH44" s="556"/>
      <c r="AI44" s="707"/>
      <c r="AJ44" s="707"/>
      <c r="AK44" s="707"/>
      <c r="AL44" s="707"/>
      <c r="AM44" s="707"/>
      <c r="AN44" s="717"/>
    </row>
    <row r="45" spans="1:40" x14ac:dyDescent="0.35">
      <c r="A45" s="174" t="s">
        <v>87</v>
      </c>
      <c r="B45" s="709" t="s">
        <v>539</v>
      </c>
      <c r="C45" s="597" t="s">
        <v>543</v>
      </c>
      <c r="D45" s="610" t="s">
        <v>544</v>
      </c>
      <c r="E45" s="578" t="s">
        <v>2</v>
      </c>
      <c r="F45" s="34"/>
      <c r="G45" s="566">
        <v>0.66</v>
      </c>
      <c r="H45" s="566">
        <f>1-G45</f>
        <v>0.33999999999999997</v>
      </c>
      <c r="I45" s="34">
        <f>G45*$F45/($G45+1.1*$H45)</f>
        <v>0</v>
      </c>
      <c r="J45" s="34">
        <f>1.1*H45*$F45/($G45+1.1*$H45)</f>
        <v>0</v>
      </c>
      <c r="K45" s="417" t="s">
        <v>113</v>
      </c>
      <c r="L45" s="417" t="s">
        <v>62</v>
      </c>
      <c r="M45" s="417" t="s">
        <v>335</v>
      </c>
      <c r="N45" s="417" t="s">
        <v>125</v>
      </c>
      <c r="O45" s="421" t="s">
        <v>77</v>
      </c>
      <c r="P45" s="423"/>
      <c r="Q45" s="423"/>
      <c r="R45" s="423"/>
      <c r="S45" s="423"/>
      <c r="T45" s="423"/>
      <c r="U45" s="423"/>
      <c r="V45" s="423"/>
      <c r="W45" s="423">
        <v>42436</v>
      </c>
      <c r="X45" s="423"/>
      <c r="Y45" s="423">
        <v>42454</v>
      </c>
      <c r="Z45" s="560"/>
      <c r="AA45" s="627"/>
      <c r="AB45" s="551"/>
      <c r="AC45" s="551"/>
      <c r="AD45" s="551"/>
      <c r="AE45" s="589"/>
      <c r="AF45" s="589"/>
      <c r="AG45" s="423"/>
      <c r="AH45" s="554"/>
      <c r="AI45" s="705"/>
      <c r="AJ45" s="705"/>
      <c r="AK45" s="705">
        <f>AB45-AH45</f>
        <v>0</v>
      </c>
      <c r="AL45" s="705">
        <v>0</v>
      </c>
      <c r="AM45" s="705">
        <v>0</v>
      </c>
      <c r="AN45" s="708"/>
    </row>
    <row r="46" spans="1:40" x14ac:dyDescent="0.35">
      <c r="A46" s="175" t="s">
        <v>88</v>
      </c>
      <c r="B46" s="710"/>
      <c r="C46" s="590"/>
      <c r="D46" s="590"/>
      <c r="E46" s="579"/>
      <c r="F46" s="35"/>
      <c r="G46" s="567"/>
      <c r="H46" s="567"/>
      <c r="I46" s="35">
        <f>G45*$F46/($G45+1.1*$H45)</f>
        <v>0</v>
      </c>
      <c r="J46" s="35">
        <f>1.1*H45*$F46/($G45+1.1*$H45)</f>
        <v>0</v>
      </c>
      <c r="K46" s="418"/>
      <c r="L46" s="418"/>
      <c r="M46" s="418"/>
      <c r="N46" s="418"/>
      <c r="O46" s="418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561"/>
      <c r="AA46" s="570"/>
      <c r="AB46" s="552"/>
      <c r="AC46" s="552"/>
      <c r="AD46" s="552"/>
      <c r="AE46" s="590"/>
      <c r="AF46" s="590"/>
      <c r="AG46" s="424"/>
      <c r="AH46" s="555"/>
      <c r="AI46" s="706"/>
      <c r="AJ46" s="706"/>
      <c r="AK46" s="706"/>
      <c r="AL46" s="706"/>
      <c r="AM46" s="706"/>
      <c r="AN46" s="603"/>
    </row>
    <row r="47" spans="1:40" x14ac:dyDescent="0.35">
      <c r="A47" s="176" t="s">
        <v>89</v>
      </c>
      <c r="B47" s="711"/>
      <c r="C47" s="592"/>
      <c r="D47" s="592"/>
      <c r="E47" s="580"/>
      <c r="F47" s="36"/>
      <c r="G47" s="568"/>
      <c r="H47" s="568"/>
      <c r="I47" s="36">
        <f>G45*$F47/($G45+1.1*$H45)</f>
        <v>0</v>
      </c>
      <c r="J47" s="36">
        <f>1.1*H45*$F47/($G45+1.1*$H45)</f>
        <v>0</v>
      </c>
      <c r="K47" s="420"/>
      <c r="L47" s="420"/>
      <c r="M47" s="420"/>
      <c r="N47" s="420"/>
      <c r="O47" s="420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562"/>
      <c r="AA47" s="571"/>
      <c r="AB47" s="553"/>
      <c r="AC47" s="553"/>
      <c r="AD47" s="553"/>
      <c r="AE47" s="592"/>
      <c r="AF47" s="592"/>
      <c r="AG47" s="425"/>
      <c r="AH47" s="556"/>
      <c r="AI47" s="707"/>
      <c r="AJ47" s="707"/>
      <c r="AK47" s="707"/>
      <c r="AL47" s="707"/>
      <c r="AM47" s="707"/>
      <c r="AN47" s="605"/>
    </row>
  </sheetData>
  <mergeCells count="280">
    <mergeCell ref="AJ45:AJ47"/>
    <mergeCell ref="AK45:AK47"/>
    <mergeCell ref="AL45:AL47"/>
    <mergeCell ref="AM45:AM47"/>
    <mergeCell ref="AN45:AN47"/>
    <mergeCell ref="AB45:AB47"/>
    <mergeCell ref="AC45:AC47"/>
    <mergeCell ref="AD45:AD47"/>
    <mergeCell ref="AE45:AE47"/>
    <mergeCell ref="AF45:AF47"/>
    <mergeCell ref="AH45:AH47"/>
    <mergeCell ref="AN42:AN44"/>
    <mergeCell ref="B45:B47"/>
    <mergeCell ref="C45:C47"/>
    <mergeCell ref="D45:D47"/>
    <mergeCell ref="E45:E47"/>
    <mergeCell ref="G45:G47"/>
    <mergeCell ref="H45:H47"/>
    <mergeCell ref="Z45:Z47"/>
    <mergeCell ref="AA45:AA47"/>
    <mergeCell ref="AF42:AF44"/>
    <mergeCell ref="AH42:AH44"/>
    <mergeCell ref="AI42:AI44"/>
    <mergeCell ref="AJ42:AJ44"/>
    <mergeCell ref="AK42:AK44"/>
    <mergeCell ref="AL42:AL44"/>
    <mergeCell ref="Z42:Z44"/>
    <mergeCell ref="AA42:AA44"/>
    <mergeCell ref="AB42:AB44"/>
    <mergeCell ref="AC42:AC44"/>
    <mergeCell ref="AD42:AD44"/>
    <mergeCell ref="AE42:AE44"/>
    <mergeCell ref="B42:B44"/>
    <mergeCell ref="C42:C44"/>
    <mergeCell ref="AI45:AI47"/>
    <mergeCell ref="D42:D44"/>
    <mergeCell ref="E42:E44"/>
    <mergeCell ref="G42:G44"/>
    <mergeCell ref="H42:H44"/>
    <mergeCell ref="AI39:AI41"/>
    <mergeCell ref="AJ39:AJ41"/>
    <mergeCell ref="AK39:AK41"/>
    <mergeCell ref="AL39:AL41"/>
    <mergeCell ref="AM39:AM41"/>
    <mergeCell ref="AM42:AM44"/>
    <mergeCell ref="AN39:AN41"/>
    <mergeCell ref="AB39:AB41"/>
    <mergeCell ref="AC39:AC41"/>
    <mergeCell ref="AD39:AD41"/>
    <mergeCell ref="AE39:AE41"/>
    <mergeCell ref="AF39:AF41"/>
    <mergeCell ref="AH39:AH41"/>
    <mergeCell ref="AM36:AM38"/>
    <mergeCell ref="AN36:AN38"/>
    <mergeCell ref="AH36:AH38"/>
    <mergeCell ref="AI36:AI38"/>
    <mergeCell ref="AJ36:AJ38"/>
    <mergeCell ref="AK36:AK38"/>
    <mergeCell ref="AL36:AL38"/>
    <mergeCell ref="AH18:AH20"/>
    <mergeCell ref="AF21:AF23"/>
    <mergeCell ref="AH21:AH23"/>
    <mergeCell ref="B39:B41"/>
    <mergeCell ref="C39:C41"/>
    <mergeCell ref="D39:D41"/>
    <mergeCell ref="E39:E41"/>
    <mergeCell ref="G39:G41"/>
    <mergeCell ref="H39:H41"/>
    <mergeCell ref="Z39:Z41"/>
    <mergeCell ref="AA39:AA41"/>
    <mergeCell ref="AF36:AF38"/>
    <mergeCell ref="Z36:Z38"/>
    <mergeCell ref="AA36:AA38"/>
    <mergeCell ref="AB36:AB38"/>
    <mergeCell ref="AC36:AC38"/>
    <mergeCell ref="AD36:AD38"/>
    <mergeCell ref="AE36:AE38"/>
    <mergeCell ref="B36:B38"/>
    <mergeCell ref="C36:C38"/>
    <mergeCell ref="D36:D38"/>
    <mergeCell ref="E36:E38"/>
    <mergeCell ref="G36:G38"/>
    <mergeCell ref="H36:H38"/>
    <mergeCell ref="G27:G29"/>
    <mergeCell ref="H27:H29"/>
    <mergeCell ref="AB24:AB26"/>
    <mergeCell ref="AD21:AD23"/>
    <mergeCell ref="AH12:AH14"/>
    <mergeCell ref="AI15:AI17"/>
    <mergeCell ref="AL15:AL17"/>
    <mergeCell ref="AE12:AE14"/>
    <mergeCell ref="AE9:AE11"/>
    <mergeCell ref="AF9:AF11"/>
    <mergeCell ref="G24:G26"/>
    <mergeCell ref="H24:H26"/>
    <mergeCell ref="G15:G17"/>
    <mergeCell ref="H15:H17"/>
    <mergeCell ref="G18:G20"/>
    <mergeCell ref="AE18:AE20"/>
    <mergeCell ref="AE21:AE23"/>
    <mergeCell ref="AD18:AD20"/>
    <mergeCell ref="AD24:AD26"/>
    <mergeCell ref="AK21:AK23"/>
    <mergeCell ref="AI18:AI20"/>
    <mergeCell ref="AK18:AK20"/>
    <mergeCell ref="H18:H20"/>
    <mergeCell ref="G21:G23"/>
    <mergeCell ref="B24:B26"/>
    <mergeCell ref="C24:C26"/>
    <mergeCell ref="D24:D26"/>
    <mergeCell ref="E24:E26"/>
    <mergeCell ref="Z24:Z26"/>
    <mergeCell ref="AA24:AA26"/>
    <mergeCell ref="B21:B23"/>
    <mergeCell ref="AC15:AC17"/>
    <mergeCell ref="AB15:AB17"/>
    <mergeCell ref="AC21:AC23"/>
    <mergeCell ref="AB21:AB23"/>
    <mergeCell ref="AC18:AC20"/>
    <mergeCell ref="AB18:AB20"/>
    <mergeCell ref="E21:E23"/>
    <mergeCell ref="Z21:Z23"/>
    <mergeCell ref="AA21:AA23"/>
    <mergeCell ref="H21:H23"/>
    <mergeCell ref="B27:B29"/>
    <mergeCell ref="C27:C29"/>
    <mergeCell ref="D27:D29"/>
    <mergeCell ref="E27:E29"/>
    <mergeCell ref="Z27:Z29"/>
    <mergeCell ref="AA27:AA29"/>
    <mergeCell ref="C21:C23"/>
    <mergeCell ref="D21:D23"/>
    <mergeCell ref="AF12:AF14"/>
    <mergeCell ref="B15:B17"/>
    <mergeCell ref="C15:C17"/>
    <mergeCell ref="D15:D17"/>
    <mergeCell ref="E15:E17"/>
    <mergeCell ref="Z15:Z17"/>
    <mergeCell ref="AA15:AA17"/>
    <mergeCell ref="AD15:AD17"/>
    <mergeCell ref="AC12:AC14"/>
    <mergeCell ref="AB12:AB14"/>
    <mergeCell ref="B18:B20"/>
    <mergeCell ref="C18:C20"/>
    <mergeCell ref="D18:D20"/>
    <mergeCell ref="E18:E20"/>
    <mergeCell ref="Z18:Z20"/>
    <mergeCell ref="AA18:AA20"/>
    <mergeCell ref="C6:C8"/>
    <mergeCell ref="D6:D8"/>
    <mergeCell ref="E6:E8"/>
    <mergeCell ref="Z6:Z8"/>
    <mergeCell ref="AA6:AA8"/>
    <mergeCell ref="AH9:AH11"/>
    <mergeCell ref="B12:B14"/>
    <mergeCell ref="C12:C14"/>
    <mergeCell ref="D12:D14"/>
    <mergeCell ref="E12:E14"/>
    <mergeCell ref="Z12:Z14"/>
    <mergeCell ref="AA12:AA14"/>
    <mergeCell ref="AD12:AD14"/>
    <mergeCell ref="AD9:AD11"/>
    <mergeCell ref="AC9:AC11"/>
    <mergeCell ref="AB9:AB11"/>
    <mergeCell ref="G6:G8"/>
    <mergeCell ref="H6:H8"/>
    <mergeCell ref="G9:G11"/>
    <mergeCell ref="H9:H11"/>
    <mergeCell ref="G12:G14"/>
    <mergeCell ref="H12:H14"/>
    <mergeCell ref="AE6:AE8"/>
    <mergeCell ref="AF6:AF8"/>
    <mergeCell ref="AB27:AB29"/>
    <mergeCell ref="AH6:AH8"/>
    <mergeCell ref="AN6:AN8"/>
    <mergeCell ref="B9:B11"/>
    <mergeCell ref="C9:C11"/>
    <mergeCell ref="D9:D11"/>
    <mergeCell ref="E9:E11"/>
    <mergeCell ref="Z9:Z11"/>
    <mergeCell ref="AA9:AA11"/>
    <mergeCell ref="AJ6:AJ8"/>
    <mergeCell ref="AI6:AI8"/>
    <mergeCell ref="AK6:AK8"/>
    <mergeCell ref="AK9:AK11"/>
    <mergeCell ref="AM9:AM11"/>
    <mergeCell ref="AL9:AL11"/>
    <mergeCell ref="AJ9:AJ11"/>
    <mergeCell ref="AI9:AI11"/>
    <mergeCell ref="AM6:AM8"/>
    <mergeCell ref="AL6:AL8"/>
    <mergeCell ref="AD6:AD8"/>
    <mergeCell ref="AC6:AC8"/>
    <mergeCell ref="AB6:AB8"/>
    <mergeCell ref="B6:B8"/>
    <mergeCell ref="AN9:AN11"/>
    <mergeCell ref="AC30:AC32"/>
    <mergeCell ref="AD30:AD32"/>
    <mergeCell ref="AE30:AE32"/>
    <mergeCell ref="AM30:AM32"/>
    <mergeCell ref="AE27:AE29"/>
    <mergeCell ref="AF27:AF29"/>
    <mergeCell ref="AH27:AH29"/>
    <mergeCell ref="AL24:AL26"/>
    <mergeCell ref="AC24:AC26"/>
    <mergeCell ref="AH24:AH26"/>
    <mergeCell ref="AF24:AF26"/>
    <mergeCell ref="AJ24:AJ26"/>
    <mergeCell ref="AI24:AI26"/>
    <mergeCell ref="AK24:AK26"/>
    <mergeCell ref="AE24:AE26"/>
    <mergeCell ref="AD27:AD29"/>
    <mergeCell ref="AC27:AC29"/>
    <mergeCell ref="B30:B32"/>
    <mergeCell ref="C30:C32"/>
    <mergeCell ref="D30:D32"/>
    <mergeCell ref="E30:E32"/>
    <mergeCell ref="G30:G32"/>
    <mergeCell ref="H30:H32"/>
    <mergeCell ref="Z30:Z32"/>
    <mergeCell ref="AA30:AA32"/>
    <mergeCell ref="AB30:AB32"/>
    <mergeCell ref="AN12:AN14"/>
    <mergeCell ref="AM21:AM23"/>
    <mergeCell ref="AL21:AL23"/>
    <mergeCell ref="AJ21:AJ23"/>
    <mergeCell ref="AI21:AI23"/>
    <mergeCell ref="AM18:AM20"/>
    <mergeCell ref="AL18:AL20"/>
    <mergeCell ref="AJ18:AJ20"/>
    <mergeCell ref="AM27:AM29"/>
    <mergeCell ref="AL27:AL29"/>
    <mergeCell ref="AJ27:AJ29"/>
    <mergeCell ref="AI27:AI29"/>
    <mergeCell ref="AM24:AM26"/>
    <mergeCell ref="AK27:AK29"/>
    <mergeCell ref="AJ15:AJ17"/>
    <mergeCell ref="AC33:AC35"/>
    <mergeCell ref="AD33:AD35"/>
    <mergeCell ref="AE33:AE35"/>
    <mergeCell ref="AM33:AM35"/>
    <mergeCell ref="AN33:AN35"/>
    <mergeCell ref="AF33:AF35"/>
    <mergeCell ref="AH33:AH35"/>
    <mergeCell ref="AI33:AI35"/>
    <mergeCell ref="AM12:AM14"/>
    <mergeCell ref="AL12:AL14"/>
    <mergeCell ref="AJ12:AJ14"/>
    <mergeCell ref="AI12:AI14"/>
    <mergeCell ref="AK12:AK14"/>
    <mergeCell ref="AK15:AK17"/>
    <mergeCell ref="AN27:AN29"/>
    <mergeCell ref="AN15:AN17"/>
    <mergeCell ref="AM15:AM17"/>
    <mergeCell ref="AN24:AN26"/>
    <mergeCell ref="AN21:AN23"/>
    <mergeCell ref="AN18:AN20"/>
    <mergeCell ref="AE15:AE17"/>
    <mergeCell ref="AF15:AF17"/>
    <mergeCell ref="AH15:AH17"/>
    <mergeCell ref="AF18:AF20"/>
    <mergeCell ref="B33:B35"/>
    <mergeCell ref="C33:C35"/>
    <mergeCell ref="D33:D35"/>
    <mergeCell ref="E33:E35"/>
    <mergeCell ref="G33:G35"/>
    <mergeCell ref="H33:H35"/>
    <mergeCell ref="Z33:Z35"/>
    <mergeCell ref="AA33:AA35"/>
    <mergeCell ref="AB33:AB35"/>
    <mergeCell ref="AJ33:AJ35"/>
    <mergeCell ref="AK33:AK35"/>
    <mergeCell ref="AL33:AL35"/>
    <mergeCell ref="AN30:AN32"/>
    <mergeCell ref="AF30:AF32"/>
    <mergeCell ref="AH30:AH32"/>
    <mergeCell ref="AI30:AI32"/>
    <mergeCell ref="AJ30:AJ32"/>
    <mergeCell ref="AK30:AK32"/>
    <mergeCell ref="AL30:AL32"/>
  </mergeCells>
  <conditionalFormatting sqref="P48:Q59778 P6:Q32">
    <cfRule type="expression" dxfId="2" priority="7" stopIfTrue="1">
      <formula>$O6="No"</formula>
    </cfRule>
  </conditionalFormatting>
  <conditionalFormatting sqref="P33:Q35">
    <cfRule type="expression" dxfId="1" priority="3" stopIfTrue="1">
      <formula>$O33="No"</formula>
    </cfRule>
  </conditionalFormatting>
  <conditionalFormatting sqref="P36:Q47">
    <cfRule type="expression" dxfId="0" priority="1" stopIfTrue="1">
      <formula>$O36="No"</formula>
    </cfRule>
  </conditionalFormatting>
  <dataValidations count="3">
    <dataValidation type="list" allowBlank="1" showInputMessage="1" showErrorMessage="1" sqref="E6:E59784" xr:uid="{00000000-0002-0000-0700-000000000000}">
      <formula1>gwncs</formula1>
    </dataValidation>
    <dataValidation type="list" allowBlank="1" showInputMessage="1" showErrorMessage="1" sqref="N6:O59775" xr:uid="{00000000-0002-0000-0700-000001000000}">
      <formula1>yn</formula1>
    </dataValidation>
    <dataValidation type="list" allowBlank="1" showInputMessage="1" showErrorMessage="1" sqref="L6:L62475" xr:uid="{00000000-0002-0000-0700-000002000000}">
      <formula1>priorpost</formula1>
    </dataValidation>
  </dataValidations>
  <pageMargins left="0.74803149606299202" right="0.74803149606299202" top="0.98425196850393704" bottom="0.98425196850393704" header="0.511811023622047" footer="0.511811023622047"/>
  <pageSetup paperSize="8" scale="66" orientation="landscape" r:id="rId1"/>
  <headerFooter alignWithMargins="0">
    <oddHeader>&amp;C&amp;"Times New Roman,Bold"&amp;18OPERATIONAL COST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AE144"/>
  <sheetViews>
    <sheetView showGridLines="0" showZeros="0" topLeftCell="A5" zoomScaleNormal="100" workbookViewId="0">
      <pane ySplit="1" topLeftCell="A114" activePane="bottomLeft" state="frozen"/>
      <selection activeCell="A4" sqref="A1:XFD1048576"/>
      <selection pane="bottomLeft" activeCell="Z120" sqref="Z120"/>
    </sheetView>
  </sheetViews>
  <sheetFormatPr defaultColWidth="9.1328125" defaultRowHeight="12.75" x14ac:dyDescent="0.35"/>
  <cols>
    <col min="1" max="1" width="11.1328125" style="143" customWidth="1"/>
    <col min="2" max="2" width="6.73046875" style="272" bestFit="1" customWidth="1"/>
    <col min="3" max="3" width="13.265625" style="155" customWidth="1"/>
    <col min="4" max="4" width="23.3984375" style="143" customWidth="1"/>
    <col min="5" max="5" width="14.1328125" style="217" customWidth="1"/>
    <col min="6" max="6" width="9.86328125" style="189" customWidth="1"/>
    <col min="7" max="7" width="8.86328125" style="189" customWidth="1"/>
    <col min="8" max="8" width="10.73046875" style="189" customWidth="1"/>
    <col min="9" max="9" width="10.59765625" style="189" customWidth="1"/>
    <col min="10" max="11" width="13.86328125" style="192" customWidth="1"/>
    <col min="12" max="12" width="18.73046875" style="192" customWidth="1"/>
    <col min="13" max="13" width="9.86328125" style="192" customWidth="1"/>
    <col min="14" max="14" width="14.59765625" style="192" customWidth="1"/>
    <col min="15" max="15" width="10.265625" style="189" customWidth="1"/>
    <col min="16" max="17" width="10.265625" style="193" customWidth="1"/>
    <col min="18" max="19" width="12.73046875" style="273" customWidth="1"/>
    <col min="20" max="20" width="19" style="189" bestFit="1" customWidth="1"/>
    <col min="21" max="21" width="13.86328125" style="189" bestFit="1" customWidth="1"/>
    <col min="22" max="24" width="15.73046875" style="189" customWidth="1"/>
    <col min="25" max="25" width="16.3984375" style="189" customWidth="1"/>
    <col min="26" max="27" width="15.73046875" style="189" customWidth="1"/>
    <col min="28" max="28" width="27.1328125" style="143" customWidth="1"/>
    <col min="29" max="31" width="10.1328125" style="143" bestFit="1" customWidth="1"/>
    <col min="32" max="16384" width="9.1328125" style="143"/>
  </cols>
  <sheetData>
    <row r="1" spans="1:31" ht="17.649999999999999" x14ac:dyDescent="0.5">
      <c r="B1" s="268" t="s">
        <v>67</v>
      </c>
      <c r="C1" s="391"/>
      <c r="D1" s="177"/>
      <c r="E1" s="392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269"/>
      <c r="S1" s="269"/>
      <c r="T1" s="177"/>
      <c r="U1" s="177"/>
      <c r="V1" s="177"/>
      <c r="W1" s="177"/>
      <c r="X1" s="177"/>
      <c r="Y1" s="177"/>
      <c r="Z1" s="177"/>
      <c r="AA1" s="177"/>
    </row>
    <row r="2" spans="1:31" ht="13.15" x14ac:dyDescent="0.4">
      <c r="B2" s="270" t="s">
        <v>465</v>
      </c>
      <c r="C2" s="393"/>
      <c r="D2" s="183"/>
      <c r="E2" s="394"/>
      <c r="F2" s="183"/>
      <c r="G2" s="183"/>
      <c r="H2" s="183"/>
      <c r="I2" s="183"/>
      <c r="J2" s="187"/>
      <c r="K2" s="187"/>
      <c r="L2" s="187"/>
      <c r="M2" s="187"/>
      <c r="N2" s="187"/>
      <c r="O2" s="183"/>
      <c r="P2" s="188"/>
      <c r="Q2" s="188"/>
      <c r="R2" s="271"/>
      <c r="S2" s="271"/>
      <c r="T2" s="183"/>
      <c r="U2" s="183"/>
      <c r="V2" s="183"/>
      <c r="W2" s="183"/>
      <c r="X2" s="183"/>
      <c r="Y2" s="183"/>
      <c r="Z2" s="183"/>
      <c r="AA2" s="183"/>
    </row>
    <row r="4" spans="1:31" ht="24" customHeight="1" x14ac:dyDescent="0.35">
      <c r="A4" s="154" t="s">
        <v>95</v>
      </c>
    </row>
    <row r="5" spans="1:31" s="173" customFormat="1" ht="79.150000000000006" thickBot="1" x14ac:dyDescent="0.4">
      <c r="A5" s="274">
        <v>43525</v>
      </c>
      <c r="B5" s="275" t="s">
        <v>54</v>
      </c>
      <c r="C5" s="167" t="s">
        <v>64</v>
      </c>
      <c r="D5" s="167" t="s">
        <v>55</v>
      </c>
      <c r="E5" s="218" t="s">
        <v>41</v>
      </c>
      <c r="F5" s="167" t="s">
        <v>63</v>
      </c>
      <c r="G5" s="167" t="s">
        <v>105</v>
      </c>
      <c r="H5" s="167" t="s">
        <v>106</v>
      </c>
      <c r="I5" s="167" t="s">
        <v>59</v>
      </c>
      <c r="J5" s="219" t="s">
        <v>92</v>
      </c>
      <c r="K5" s="219" t="s">
        <v>196</v>
      </c>
      <c r="L5" s="167" t="s">
        <v>90</v>
      </c>
      <c r="M5" s="167" t="s">
        <v>91</v>
      </c>
      <c r="N5" s="167" t="s">
        <v>225</v>
      </c>
      <c r="O5" s="167" t="s">
        <v>84</v>
      </c>
      <c r="P5" s="169" t="s">
        <v>351</v>
      </c>
      <c r="Q5" s="169" t="s">
        <v>352</v>
      </c>
      <c r="R5" s="276" t="s">
        <v>354</v>
      </c>
      <c r="S5" s="276" t="s">
        <v>353</v>
      </c>
      <c r="T5" s="167" t="s">
        <v>195</v>
      </c>
      <c r="U5" s="167" t="s">
        <v>69</v>
      </c>
      <c r="V5" s="167" t="s">
        <v>65</v>
      </c>
      <c r="W5" s="167" t="s">
        <v>355</v>
      </c>
      <c r="X5" s="167" t="s">
        <v>356</v>
      </c>
      <c r="Y5" s="167" t="s">
        <v>396</v>
      </c>
      <c r="Z5" s="167" t="s">
        <v>397</v>
      </c>
      <c r="AA5" s="167" t="s">
        <v>612</v>
      </c>
      <c r="AB5" s="220" t="s">
        <v>169</v>
      </c>
    </row>
    <row r="6" spans="1:31" x14ac:dyDescent="0.35">
      <c r="A6" s="278" t="s">
        <v>89</v>
      </c>
      <c r="B6" s="279" t="s">
        <v>202</v>
      </c>
      <c r="C6" s="280" t="s">
        <v>229</v>
      </c>
      <c r="D6" s="729" t="s">
        <v>170</v>
      </c>
      <c r="E6" s="41"/>
      <c r="F6" s="723" t="s">
        <v>113</v>
      </c>
      <c r="G6" s="726" t="s">
        <v>62</v>
      </c>
      <c r="H6" s="723" t="s">
        <v>71</v>
      </c>
      <c r="I6" s="735" t="s">
        <v>304</v>
      </c>
      <c r="J6" s="240">
        <v>40536</v>
      </c>
      <c r="K6" s="240">
        <v>40513</v>
      </c>
      <c r="L6" s="281">
        <v>108000000</v>
      </c>
      <c r="M6" s="282" t="s">
        <v>149</v>
      </c>
      <c r="N6" s="241">
        <v>71641.791044776124</v>
      </c>
      <c r="O6" s="440"/>
      <c r="P6" s="238">
        <v>0.66</v>
      </c>
      <c r="Q6" s="238">
        <f t="shared" ref="Q6:Q57" si="0">1-P6</f>
        <v>0.33999999999999997</v>
      </c>
      <c r="R6" s="239">
        <f t="shared" ref="R6:R57" si="1">$N6*P6/($P6+$Q6)</f>
        <v>47283.582089552241</v>
      </c>
      <c r="S6" s="239">
        <f t="shared" ref="S6:S57" si="2">$N6*Q6/($P6+$Q6)</f>
        <v>24358.208955223879</v>
      </c>
      <c r="T6" s="726" t="s">
        <v>182</v>
      </c>
      <c r="U6" s="240">
        <v>40877</v>
      </c>
      <c r="V6" s="241">
        <f>IF(N6*ROUND(($A$5-K6)/30,0)/(ROUND((U6-K6)/30,0))&gt;N6,N6,N6*ROUND(($A$5-K6)/30,0)/(ROUND((U6-K6)/30,0)))</f>
        <v>71641.791044776124</v>
      </c>
      <c r="W6" s="242">
        <f t="shared" ref="W6:W12" si="3">V6*P6</f>
        <v>47283.582089552241</v>
      </c>
      <c r="X6" s="242">
        <f t="shared" ref="X6:X15" si="4">Q6*V6</f>
        <v>24358.208955223879</v>
      </c>
      <c r="Y6" s="242">
        <f t="shared" ref="Y6:Y15" si="5">R6-W6</f>
        <v>0</v>
      </c>
      <c r="Z6" s="242">
        <f t="shared" ref="Z6:Z15" si="6">S6-X6</f>
        <v>0</v>
      </c>
      <c r="AA6" s="242"/>
      <c r="AB6" s="243"/>
    </row>
    <row r="7" spans="1:31" x14ac:dyDescent="0.35">
      <c r="A7" s="283" t="s">
        <v>89</v>
      </c>
      <c r="B7" s="284" t="s">
        <v>203</v>
      </c>
      <c r="C7" s="285" t="s">
        <v>230</v>
      </c>
      <c r="D7" s="730"/>
      <c r="E7" s="42"/>
      <c r="F7" s="724"/>
      <c r="G7" s="727"/>
      <c r="H7" s="724"/>
      <c r="I7" s="736"/>
      <c r="J7" s="222">
        <v>40909</v>
      </c>
      <c r="K7" s="222">
        <v>40878</v>
      </c>
      <c r="L7" s="286">
        <v>108000000</v>
      </c>
      <c r="M7" s="223" t="s">
        <v>149</v>
      </c>
      <c r="N7" s="224">
        <v>71641.791044776095</v>
      </c>
      <c r="O7" s="227"/>
      <c r="P7" s="244">
        <v>0.66</v>
      </c>
      <c r="Q7" s="244">
        <f t="shared" si="0"/>
        <v>0.33999999999999997</v>
      </c>
      <c r="R7" s="236">
        <f t="shared" si="1"/>
        <v>47283.582089552227</v>
      </c>
      <c r="S7" s="236">
        <f t="shared" si="2"/>
        <v>24358.208955223869</v>
      </c>
      <c r="T7" s="724"/>
      <c r="U7" s="222">
        <v>41243</v>
      </c>
      <c r="V7" s="224">
        <f>IF(N7*ROUND(($A$5-K7)/30,0)/(ROUND((U7-K7)/30,0))&gt;N7,N7,N7*ROUND(($A$5-K7)/30,0)/(ROUND((U7-K7)/30,0)))</f>
        <v>71641.791044776095</v>
      </c>
      <c r="W7" s="245">
        <f t="shared" si="3"/>
        <v>47283.582089552227</v>
      </c>
      <c r="X7" s="245">
        <f t="shared" si="4"/>
        <v>24358.208955223869</v>
      </c>
      <c r="Y7" s="245">
        <f t="shared" si="5"/>
        <v>0</v>
      </c>
      <c r="Z7" s="245">
        <f t="shared" si="6"/>
        <v>0</v>
      </c>
      <c r="AA7" s="245"/>
      <c r="AB7" s="246" t="s">
        <v>278</v>
      </c>
    </row>
    <row r="8" spans="1:31" x14ac:dyDescent="0.35">
      <c r="A8" s="283" t="s">
        <v>89</v>
      </c>
      <c r="B8" s="287" t="s">
        <v>204</v>
      </c>
      <c r="C8" s="285" t="s">
        <v>231</v>
      </c>
      <c r="D8" s="730"/>
      <c r="E8" s="42"/>
      <c r="F8" s="724"/>
      <c r="G8" s="727"/>
      <c r="H8" s="724"/>
      <c r="I8" s="736"/>
      <c r="J8" s="222">
        <v>41275</v>
      </c>
      <c r="K8" s="222">
        <v>41244</v>
      </c>
      <c r="L8" s="286">
        <v>108000000</v>
      </c>
      <c r="M8" s="223" t="s">
        <v>149</v>
      </c>
      <c r="N8" s="224">
        <v>71641.789999999994</v>
      </c>
      <c r="O8" s="227"/>
      <c r="P8" s="244">
        <v>0.66</v>
      </c>
      <c r="Q8" s="244">
        <f t="shared" si="0"/>
        <v>0.33999999999999997</v>
      </c>
      <c r="R8" s="236">
        <f t="shared" si="1"/>
        <v>47283.581399999995</v>
      </c>
      <c r="S8" s="236">
        <f t="shared" si="2"/>
        <v>24358.208599999994</v>
      </c>
      <c r="T8" s="724"/>
      <c r="U8" s="222">
        <v>41608</v>
      </c>
      <c r="V8" s="224">
        <f>IF(N8*ROUND(($A$5-K8)/30,0)/(ROUND((U8-K8)/30,0))&gt;N8,N8,N8*ROUND(($A$5-K8)/30,0)/(ROUND((U8-K8)/30,0)))</f>
        <v>71641.789999999994</v>
      </c>
      <c r="W8" s="245">
        <f t="shared" si="3"/>
        <v>47283.581399999995</v>
      </c>
      <c r="X8" s="245">
        <f t="shared" si="4"/>
        <v>24358.208599999994</v>
      </c>
      <c r="Y8" s="245">
        <f t="shared" si="5"/>
        <v>0</v>
      </c>
      <c r="Z8" s="245">
        <f t="shared" si="6"/>
        <v>0</v>
      </c>
      <c r="AA8" s="245"/>
      <c r="AB8" s="246" t="s">
        <v>278</v>
      </c>
    </row>
    <row r="9" spans="1:31" x14ac:dyDescent="0.35">
      <c r="A9" s="283" t="s">
        <v>89</v>
      </c>
      <c r="B9" s="288" t="s">
        <v>413</v>
      </c>
      <c r="C9" s="221" t="s">
        <v>309</v>
      </c>
      <c r="D9" s="730"/>
      <c r="E9" s="42"/>
      <c r="F9" s="724"/>
      <c r="G9" s="727"/>
      <c r="H9" s="724"/>
      <c r="I9" s="736"/>
      <c r="J9" s="222">
        <v>41609</v>
      </c>
      <c r="K9" s="222">
        <v>41609</v>
      </c>
      <c r="L9" s="224">
        <f>L10/12*0</f>
        <v>0</v>
      </c>
      <c r="M9" s="223" t="s">
        <v>113</v>
      </c>
      <c r="N9" s="224">
        <f t="shared" ref="N9:N17" si="7">L9</f>
        <v>0</v>
      </c>
      <c r="O9" s="227"/>
      <c r="P9" s="244">
        <v>0.66</v>
      </c>
      <c r="Q9" s="244">
        <f t="shared" si="0"/>
        <v>0.33999999999999997</v>
      </c>
      <c r="R9" s="236">
        <f t="shared" si="1"/>
        <v>0</v>
      </c>
      <c r="S9" s="236">
        <f t="shared" si="2"/>
        <v>0</v>
      </c>
      <c r="T9" s="724"/>
      <c r="U9" s="222">
        <v>41639</v>
      </c>
      <c r="V9" s="224"/>
      <c r="W9" s="245">
        <f t="shared" si="3"/>
        <v>0</v>
      </c>
      <c r="X9" s="245">
        <f t="shared" si="4"/>
        <v>0</v>
      </c>
      <c r="Y9" s="245">
        <f t="shared" si="5"/>
        <v>0</v>
      </c>
      <c r="Z9" s="245">
        <f t="shared" si="6"/>
        <v>0</v>
      </c>
      <c r="AA9" s="245"/>
      <c r="AB9" s="246" t="s">
        <v>307</v>
      </c>
    </row>
    <row r="10" spans="1:31" x14ac:dyDescent="0.35">
      <c r="A10" s="283" t="s">
        <v>89</v>
      </c>
      <c r="B10" s="287" t="s">
        <v>281</v>
      </c>
      <c r="C10" s="221" t="s">
        <v>280</v>
      </c>
      <c r="D10" s="730"/>
      <c r="E10" s="42"/>
      <c r="F10" s="724"/>
      <c r="G10" s="727"/>
      <c r="H10" s="724"/>
      <c r="I10" s="736"/>
      <c r="J10" s="222">
        <v>41662</v>
      </c>
      <c r="K10" s="222">
        <v>41640</v>
      </c>
      <c r="L10" s="224">
        <f>6000*12</f>
        <v>72000</v>
      </c>
      <c r="M10" s="223" t="s">
        <v>113</v>
      </c>
      <c r="N10" s="224">
        <f t="shared" si="7"/>
        <v>72000</v>
      </c>
      <c r="O10" s="227"/>
      <c r="P10" s="244">
        <v>0.66</v>
      </c>
      <c r="Q10" s="244">
        <f t="shared" si="0"/>
        <v>0.33999999999999997</v>
      </c>
      <c r="R10" s="236">
        <f t="shared" si="1"/>
        <v>47520</v>
      </c>
      <c r="S10" s="236">
        <f t="shared" si="2"/>
        <v>24479.999999999996</v>
      </c>
      <c r="T10" s="724"/>
      <c r="U10" s="222">
        <v>42004</v>
      </c>
      <c r="V10" s="224">
        <f>IF(N10*ROUND(($A$5-K10)/30,0)/(ROUND((U10-K10)/30,0))&gt;N10,N10,N10*ROUND(($A$5-K10)/30,0)/(ROUND((U10-K10)/30,0)))</f>
        <v>72000</v>
      </c>
      <c r="W10" s="245">
        <f t="shared" si="3"/>
        <v>47520</v>
      </c>
      <c r="X10" s="245">
        <f t="shared" si="4"/>
        <v>24479.999999999996</v>
      </c>
      <c r="Y10" s="245">
        <f t="shared" si="5"/>
        <v>0</v>
      </c>
      <c r="Z10" s="245">
        <f t="shared" si="6"/>
        <v>0</v>
      </c>
      <c r="AA10" s="245"/>
      <c r="AB10" s="246" t="s">
        <v>277</v>
      </c>
    </row>
    <row r="11" spans="1:31" x14ac:dyDescent="0.35">
      <c r="A11" s="283" t="s">
        <v>89</v>
      </c>
      <c r="B11" s="288" t="s">
        <v>408</v>
      </c>
      <c r="C11" s="225" t="s">
        <v>409</v>
      </c>
      <c r="D11" s="730"/>
      <c r="E11" s="42"/>
      <c r="F11" s="724"/>
      <c r="G11" s="727"/>
      <c r="H11" s="724"/>
      <c r="I11" s="736"/>
      <c r="J11" s="289">
        <v>42006</v>
      </c>
      <c r="K11" s="289">
        <v>42005</v>
      </c>
      <c r="L11" s="249">
        <v>75600</v>
      </c>
      <c r="M11" s="290" t="s">
        <v>113</v>
      </c>
      <c r="N11" s="249">
        <f t="shared" si="7"/>
        <v>75600</v>
      </c>
      <c r="O11" s="277"/>
      <c r="P11" s="247">
        <v>0.66</v>
      </c>
      <c r="Q11" s="247">
        <f t="shared" ref="Q11:Q17" si="8">1-P11</f>
        <v>0.33999999999999997</v>
      </c>
      <c r="R11" s="434">
        <f t="shared" ref="R11:S13" si="9">$N11*P11/($P11+$Q11)</f>
        <v>49896</v>
      </c>
      <c r="S11" s="434">
        <f t="shared" si="9"/>
        <v>25703.999999999996</v>
      </c>
      <c r="T11" s="724"/>
      <c r="U11" s="289">
        <v>42369</v>
      </c>
      <c r="V11" s="249">
        <f>IF($A$5&lt;K11,0,IF(N11*ROUND(($A$5-K11)/30,0)/(ROUND((U11-K11)/30,0))&gt;N11,N11,N11*ROUND(($A$5-K11)/30,0)/(ROUND((U11-K11)/30,0))))</f>
        <v>75600</v>
      </c>
      <c r="W11" s="250">
        <f t="shared" si="3"/>
        <v>49896</v>
      </c>
      <c r="X11" s="250">
        <f t="shared" si="4"/>
        <v>25703.999999999996</v>
      </c>
      <c r="Y11" s="250">
        <f t="shared" si="5"/>
        <v>0</v>
      </c>
      <c r="Z11" s="250">
        <f t="shared" si="6"/>
        <v>0</v>
      </c>
      <c r="AA11" s="250"/>
      <c r="AB11" s="246" t="s">
        <v>277</v>
      </c>
    </row>
    <row r="12" spans="1:31" x14ac:dyDescent="0.35">
      <c r="A12" s="283" t="s">
        <v>89</v>
      </c>
      <c r="B12" s="291" t="s">
        <v>513</v>
      </c>
      <c r="C12" s="292" t="s">
        <v>512</v>
      </c>
      <c r="D12" s="730"/>
      <c r="E12" s="228"/>
      <c r="F12" s="724"/>
      <c r="G12" s="727"/>
      <c r="H12" s="724"/>
      <c r="I12" s="736"/>
      <c r="J12" s="289">
        <v>42423</v>
      </c>
      <c r="K12" s="289">
        <v>42370</v>
      </c>
      <c r="L12" s="249">
        <v>39690</v>
      </c>
      <c r="M12" s="290" t="s">
        <v>113</v>
      </c>
      <c r="N12" s="249">
        <f t="shared" si="7"/>
        <v>39690</v>
      </c>
      <c r="O12" s="277"/>
      <c r="P12" s="247">
        <v>0.66</v>
      </c>
      <c r="Q12" s="247">
        <f t="shared" si="8"/>
        <v>0.33999999999999997</v>
      </c>
      <c r="R12" s="434">
        <f t="shared" si="9"/>
        <v>26195.4</v>
      </c>
      <c r="S12" s="434">
        <f t="shared" si="9"/>
        <v>13494.599999999999</v>
      </c>
      <c r="T12" s="724"/>
      <c r="U12" s="289">
        <v>42551</v>
      </c>
      <c r="V12" s="249">
        <f>IF($A$5&lt;K12,0,IF(N12*ROUND(($A$5-K12)/30,0)/(ROUND((U12-K12)/30,0))&gt;N12,N12,N12*ROUND(($A$5-K12)/30,0)/(ROUND((U12-K12)/30,0))))</f>
        <v>39690</v>
      </c>
      <c r="W12" s="250">
        <f t="shared" si="3"/>
        <v>26195.4</v>
      </c>
      <c r="X12" s="250">
        <f t="shared" si="4"/>
        <v>13494.599999999999</v>
      </c>
      <c r="Y12" s="250">
        <f t="shared" si="5"/>
        <v>0</v>
      </c>
      <c r="Z12" s="250">
        <f t="shared" si="6"/>
        <v>0</v>
      </c>
      <c r="AA12" s="250"/>
      <c r="AB12" s="251" t="s">
        <v>277</v>
      </c>
    </row>
    <row r="13" spans="1:31" x14ac:dyDescent="0.35">
      <c r="A13" s="283" t="s">
        <v>89</v>
      </c>
      <c r="B13" s="288" t="s">
        <v>554</v>
      </c>
      <c r="C13" s="225" t="s">
        <v>553</v>
      </c>
      <c r="D13" s="730"/>
      <c r="E13" s="228"/>
      <c r="F13" s="724"/>
      <c r="G13" s="727"/>
      <c r="H13" s="724"/>
      <c r="I13" s="736"/>
      <c r="J13" s="222">
        <v>42443</v>
      </c>
      <c r="K13" s="222">
        <v>41609</v>
      </c>
      <c r="L13" s="224">
        <v>6000</v>
      </c>
      <c r="M13" s="226" t="s">
        <v>113</v>
      </c>
      <c r="N13" s="224">
        <f t="shared" si="7"/>
        <v>6000</v>
      </c>
      <c r="O13" s="227"/>
      <c r="P13" s="244">
        <v>0.66</v>
      </c>
      <c r="Q13" s="244">
        <f t="shared" si="8"/>
        <v>0.33999999999999997</v>
      </c>
      <c r="R13" s="236">
        <f t="shared" si="9"/>
        <v>3960</v>
      </c>
      <c r="S13" s="236">
        <f t="shared" si="9"/>
        <v>2039.9999999999998</v>
      </c>
      <c r="T13" s="724"/>
      <c r="U13" s="222">
        <v>41639</v>
      </c>
      <c r="V13" s="224">
        <f>IF($A$5&lt;K13,0,IF(N13*ROUND(($A$5-K13)/30,0)/(ROUND((U13-K13)/30,0))&gt;N13,N13,N13*ROUND(($A$5-K13)/30,0)/(ROUND((U13-K13)/30,0))))*0</f>
        <v>0</v>
      </c>
      <c r="W13" s="245">
        <f>R13</f>
        <v>3960</v>
      </c>
      <c r="X13" s="245">
        <f t="shared" si="4"/>
        <v>0</v>
      </c>
      <c r="Y13" s="245">
        <f t="shared" si="5"/>
        <v>0</v>
      </c>
      <c r="Z13" s="224">
        <f t="shared" si="6"/>
        <v>2039.9999999999998</v>
      </c>
      <c r="AA13" s="245"/>
      <c r="AB13" s="293" t="s">
        <v>277</v>
      </c>
      <c r="AD13" s="294"/>
      <c r="AE13" s="294"/>
    </row>
    <row r="14" spans="1:31" x14ac:dyDescent="0.35">
      <c r="A14" s="283" t="s">
        <v>89</v>
      </c>
      <c r="B14" s="291" t="s">
        <v>560</v>
      </c>
      <c r="C14" s="292" t="s">
        <v>559</v>
      </c>
      <c r="D14" s="730"/>
      <c r="E14" s="228"/>
      <c r="F14" s="724"/>
      <c r="G14" s="727"/>
      <c r="H14" s="724"/>
      <c r="I14" s="736"/>
      <c r="J14" s="289">
        <v>42556</v>
      </c>
      <c r="K14" s="289">
        <v>42552</v>
      </c>
      <c r="L14" s="249">
        <v>39690</v>
      </c>
      <c r="M14" s="290" t="s">
        <v>113</v>
      </c>
      <c r="N14" s="249">
        <f t="shared" si="7"/>
        <v>39690</v>
      </c>
      <c r="O14" s="277"/>
      <c r="P14" s="247">
        <v>0.66</v>
      </c>
      <c r="Q14" s="247">
        <f t="shared" si="8"/>
        <v>0.33999999999999997</v>
      </c>
      <c r="R14" s="434">
        <f>$N14*P14/($P14+$Q14)</f>
        <v>26195.4</v>
      </c>
      <c r="S14" s="434">
        <f>$N14*Q14/($P14+$Q14)</f>
        <v>13494.599999999999</v>
      </c>
      <c r="T14" s="724"/>
      <c r="U14" s="289">
        <v>42735</v>
      </c>
      <c r="V14" s="249">
        <f>IF($A$5&lt;K14,0,IF(N14*ROUND(($A$5-K14)/30,0)/(ROUND((U14-K14)/30,0))&gt;N14,N14,N14*ROUND(($A$5-K14)/30,0)/(ROUND((U14-K14)/30,0))))</f>
        <v>39690</v>
      </c>
      <c r="W14" s="250">
        <f>V14*P14</f>
        <v>26195.4</v>
      </c>
      <c r="X14" s="250">
        <f t="shared" si="4"/>
        <v>13494.599999999999</v>
      </c>
      <c r="Y14" s="250">
        <f t="shared" si="5"/>
        <v>0</v>
      </c>
      <c r="Z14" s="249">
        <f t="shared" si="6"/>
        <v>0</v>
      </c>
      <c r="AA14" s="250"/>
      <c r="AB14" s="323" t="s">
        <v>277</v>
      </c>
      <c r="AD14" s="294"/>
      <c r="AE14" s="294"/>
    </row>
    <row r="15" spans="1:31" x14ac:dyDescent="0.35">
      <c r="A15" s="283" t="s">
        <v>89</v>
      </c>
      <c r="B15" s="291" t="s">
        <v>591</v>
      </c>
      <c r="C15" s="292" t="s">
        <v>592</v>
      </c>
      <c r="D15" s="730"/>
      <c r="E15" s="228"/>
      <c r="F15" s="724"/>
      <c r="G15" s="727"/>
      <c r="H15" s="724"/>
      <c r="I15" s="736"/>
      <c r="J15" s="289">
        <v>42753</v>
      </c>
      <c r="K15" s="289">
        <v>42736</v>
      </c>
      <c r="L15" s="249">
        <v>87600</v>
      </c>
      <c r="M15" s="290" t="s">
        <v>113</v>
      </c>
      <c r="N15" s="249">
        <f t="shared" si="7"/>
        <v>87600</v>
      </c>
      <c r="O15" s="277"/>
      <c r="P15" s="247">
        <v>0.66</v>
      </c>
      <c r="Q15" s="247">
        <f t="shared" si="8"/>
        <v>0.33999999999999997</v>
      </c>
      <c r="R15" s="434">
        <f>$N15*P15/($P15+$Q15)</f>
        <v>57816</v>
      </c>
      <c r="S15" s="434">
        <f>$N15*Q15/($P15+$Q15)</f>
        <v>29783.999999999996</v>
      </c>
      <c r="T15" s="724"/>
      <c r="U15" s="289">
        <v>43100</v>
      </c>
      <c r="V15" s="249">
        <f>IF($A$5&lt;K15,0,IF(N15*ROUND(($A$5-K15)/30,0)/(ROUND((U15-K15)/30,0))&gt;N15,N15,N15*ROUND(($A$5-K15)/30,0)/(ROUND((U15-K15)/30,0))))</f>
        <v>87600</v>
      </c>
      <c r="W15" s="250">
        <f>V15*P15</f>
        <v>57816</v>
      </c>
      <c r="X15" s="250">
        <f t="shared" si="4"/>
        <v>29783.999999999996</v>
      </c>
      <c r="Y15" s="250">
        <f t="shared" si="5"/>
        <v>0</v>
      </c>
      <c r="Z15" s="249">
        <f t="shared" si="6"/>
        <v>0</v>
      </c>
      <c r="AA15" s="250"/>
      <c r="AB15" s="323" t="s">
        <v>277</v>
      </c>
      <c r="AD15" s="294"/>
      <c r="AE15" s="294"/>
    </row>
    <row r="16" spans="1:31" x14ac:dyDescent="0.35">
      <c r="A16" s="283" t="s">
        <v>89</v>
      </c>
      <c r="B16" s="288" t="s">
        <v>629</v>
      </c>
      <c r="C16" s="225" t="s">
        <v>628</v>
      </c>
      <c r="D16" s="730"/>
      <c r="E16" s="228"/>
      <c r="F16" s="724"/>
      <c r="G16" s="727"/>
      <c r="H16" s="724"/>
      <c r="I16" s="736"/>
      <c r="J16" s="222">
        <v>43129</v>
      </c>
      <c r="K16" s="222">
        <v>43101</v>
      </c>
      <c r="L16" s="224">
        <v>99590.399999999994</v>
      </c>
      <c r="M16" s="226" t="s">
        <v>113</v>
      </c>
      <c r="N16" s="224">
        <f t="shared" si="7"/>
        <v>99590.399999999994</v>
      </c>
      <c r="O16" s="227"/>
      <c r="P16" s="244">
        <v>0.66</v>
      </c>
      <c r="Q16" s="244">
        <f t="shared" ref="Q16" si="10">1-P16</f>
        <v>0.33999999999999997</v>
      </c>
      <c r="R16" s="236">
        <f>$N16*P16/(P16+Q16*1.11)</f>
        <v>63360</v>
      </c>
      <c r="S16" s="236">
        <f>$N16*Q16*1.11/(P16+Q16*1.11)</f>
        <v>36230.400000000001</v>
      </c>
      <c r="T16" s="724"/>
      <c r="U16" s="222">
        <v>43465</v>
      </c>
      <c r="V16" s="224">
        <f>IF($A$5&lt;K16,0,IF(N16*ROUND(($A$5-K16)/30,0)/(ROUND((U16-K16)/30,0))&gt;N16,N16,N16*ROUND(($A$5-K16)/30,0)/(ROUND((U16-K16)/30,0))))</f>
        <v>99590.399999999994</v>
      </c>
      <c r="W16" s="245">
        <f>V16*P16/(P16+Q16*1.11)</f>
        <v>63360</v>
      </c>
      <c r="X16" s="224">
        <f>Q16*V16*1.11/(P16+Q16*1.11)</f>
        <v>36230.400000000001</v>
      </c>
      <c r="Y16" s="250"/>
      <c r="Z16" s="249"/>
      <c r="AA16" s="250"/>
      <c r="AB16" s="323"/>
      <c r="AD16" s="294"/>
      <c r="AE16" s="294"/>
    </row>
    <row r="17" spans="1:28" ht="13.15" thickBot="1" x14ac:dyDescent="0.4">
      <c r="A17" s="295" t="s">
        <v>87</v>
      </c>
      <c r="B17" s="442" t="s">
        <v>688</v>
      </c>
      <c r="C17" s="443" t="s">
        <v>689</v>
      </c>
      <c r="D17" s="731"/>
      <c r="E17" s="228"/>
      <c r="F17" s="725"/>
      <c r="G17" s="728"/>
      <c r="H17" s="725"/>
      <c r="I17" s="737"/>
      <c r="J17" s="444">
        <v>43482</v>
      </c>
      <c r="K17" s="444">
        <v>43466</v>
      </c>
      <c r="L17" s="445">
        <v>99590.399999999994</v>
      </c>
      <c r="M17" s="439" t="s">
        <v>113</v>
      </c>
      <c r="N17" s="445">
        <f t="shared" si="7"/>
        <v>99590.399999999994</v>
      </c>
      <c r="O17" s="437"/>
      <c r="P17" s="446">
        <v>0.66</v>
      </c>
      <c r="Q17" s="446">
        <f t="shared" si="8"/>
        <v>0.33999999999999997</v>
      </c>
      <c r="R17" s="447">
        <f>$N17*P17/(P17+Q17*1.11)</f>
        <v>63360</v>
      </c>
      <c r="S17" s="447">
        <f>$N17*Q17*1.11/(P17+Q17*1.11)</f>
        <v>36230.400000000001</v>
      </c>
      <c r="T17" s="725"/>
      <c r="U17" s="444">
        <v>43830</v>
      </c>
      <c r="V17" s="445">
        <f>IF($A$5&lt;K17,0,IF(N17*ROUND(($A$5-K17)/30,0)/(ROUND((U17-K17)/30,0))&gt;N17,N17,N17*ROUND(($A$5-K17)/30,0)/(ROUND((U17-K17)/30,0))))</f>
        <v>16598.399999999998</v>
      </c>
      <c r="W17" s="448">
        <f>V17*P17/(P17+Q17*1.11)</f>
        <v>10559.999999999998</v>
      </c>
      <c r="X17" s="448">
        <f>Q17*V17*1.11/(P17+Q17*1.11)</f>
        <v>6038.3999999999978</v>
      </c>
      <c r="Y17" s="256">
        <f t="shared" ref="Y17:Y27" si="11">R17-W17</f>
        <v>52800</v>
      </c>
      <c r="Z17" s="255">
        <f t="shared" ref="Z17:Z27" si="12">S17-X17</f>
        <v>30192.000000000004</v>
      </c>
      <c r="AA17" s="256"/>
      <c r="AB17" s="449" t="s">
        <v>277</v>
      </c>
    </row>
    <row r="18" spans="1:28" x14ac:dyDescent="0.35">
      <c r="A18" s="278" t="s">
        <v>89</v>
      </c>
      <c r="B18" s="279" t="s">
        <v>205</v>
      </c>
      <c r="C18" s="280" t="s">
        <v>232</v>
      </c>
      <c r="D18" s="726" t="s">
        <v>171</v>
      </c>
      <c r="E18" s="44"/>
      <c r="F18" s="723" t="s">
        <v>113</v>
      </c>
      <c r="G18" s="726" t="s">
        <v>62</v>
      </c>
      <c r="H18" s="723" t="s">
        <v>71</v>
      </c>
      <c r="I18" s="735" t="s">
        <v>304</v>
      </c>
      <c r="J18" s="240">
        <v>41061</v>
      </c>
      <c r="K18" s="240">
        <v>41061</v>
      </c>
      <c r="L18" s="281">
        <v>126000000</v>
      </c>
      <c r="M18" s="282" t="s">
        <v>149</v>
      </c>
      <c r="N18" s="241">
        <v>83582.089552238802</v>
      </c>
      <c r="O18" s="440"/>
      <c r="P18" s="238">
        <v>0.66</v>
      </c>
      <c r="Q18" s="238">
        <f t="shared" si="0"/>
        <v>0.33999999999999997</v>
      </c>
      <c r="R18" s="239">
        <f t="shared" si="1"/>
        <v>55164.179104477611</v>
      </c>
      <c r="S18" s="239">
        <f t="shared" si="2"/>
        <v>28417.910447761191</v>
      </c>
      <c r="T18" s="726" t="s">
        <v>183</v>
      </c>
      <c r="U18" s="240">
        <f>K18+365</f>
        <v>41426</v>
      </c>
      <c r="V18" s="241">
        <f>IF(N18*ROUND(($A$5-K18)/30,0)/(ROUND((U18-K18)/30,0))&gt;N18,N18,N18*ROUND(($A$5-K18)/30,0)/(ROUND((U18-K18)/30,0)))</f>
        <v>83582.089552238802</v>
      </c>
      <c r="W18" s="242">
        <f t="shared" ref="W18:W55" si="13">V18*P18</f>
        <v>55164.179104477611</v>
      </c>
      <c r="X18" s="242">
        <f t="shared" ref="X18:X55" si="14">Q18*V18</f>
        <v>28417.910447761191</v>
      </c>
      <c r="Y18" s="242">
        <f t="shared" si="11"/>
        <v>0</v>
      </c>
      <c r="Z18" s="242">
        <f t="shared" si="12"/>
        <v>0</v>
      </c>
      <c r="AA18" s="242"/>
      <c r="AB18" s="257"/>
    </row>
    <row r="19" spans="1:28" x14ac:dyDescent="0.35">
      <c r="A19" s="283" t="s">
        <v>89</v>
      </c>
      <c r="B19" s="287" t="s">
        <v>227</v>
      </c>
      <c r="C19" s="221" t="s">
        <v>233</v>
      </c>
      <c r="D19" s="727"/>
      <c r="E19" s="42"/>
      <c r="F19" s="724"/>
      <c r="G19" s="727"/>
      <c r="H19" s="724"/>
      <c r="I19" s="736"/>
      <c r="J19" s="222">
        <v>41426</v>
      </c>
      <c r="K19" s="222">
        <v>41426</v>
      </c>
      <c r="L19" s="286">
        <v>126000000</v>
      </c>
      <c r="M19" s="223" t="s">
        <v>149</v>
      </c>
      <c r="N19" s="224">
        <v>83582.089552238802</v>
      </c>
      <c r="O19" s="227"/>
      <c r="P19" s="244">
        <v>0.66</v>
      </c>
      <c r="Q19" s="244">
        <f t="shared" si="0"/>
        <v>0.33999999999999997</v>
      </c>
      <c r="R19" s="236">
        <f t="shared" si="1"/>
        <v>55164.179104477611</v>
      </c>
      <c r="S19" s="236">
        <f t="shared" si="2"/>
        <v>28417.910447761191</v>
      </c>
      <c r="T19" s="724"/>
      <c r="U19" s="222">
        <f>K19+365</f>
        <v>41791</v>
      </c>
      <c r="V19" s="224">
        <f>IF(N19*ROUND(($A$5-K19)/30,0)/(ROUND((U19-K19)/30,0))&gt;N19,N19,N19*ROUND(($A$5-K19)/30,0)/(ROUND((U19-K19)/30,0)))</f>
        <v>83582.089552238802</v>
      </c>
      <c r="W19" s="245">
        <f t="shared" si="13"/>
        <v>55164.179104477611</v>
      </c>
      <c r="X19" s="245">
        <f t="shared" si="14"/>
        <v>28417.910447761191</v>
      </c>
      <c r="Y19" s="245">
        <f t="shared" si="11"/>
        <v>0</v>
      </c>
      <c r="Z19" s="245">
        <f t="shared" si="12"/>
        <v>0</v>
      </c>
      <c r="AA19" s="245"/>
      <c r="AB19" s="246" t="s">
        <v>277</v>
      </c>
    </row>
    <row r="20" spans="1:28" x14ac:dyDescent="0.35">
      <c r="A20" s="283" t="s">
        <v>89</v>
      </c>
      <c r="B20" s="287" t="s">
        <v>320</v>
      </c>
      <c r="C20" s="221" t="s">
        <v>321</v>
      </c>
      <c r="D20" s="727"/>
      <c r="E20" s="42"/>
      <c r="F20" s="724"/>
      <c r="G20" s="727"/>
      <c r="H20" s="724"/>
      <c r="I20" s="736"/>
      <c r="J20" s="222">
        <v>41791</v>
      </c>
      <c r="K20" s="222">
        <v>41791</v>
      </c>
      <c r="L20" s="224">
        <f>7*126000000/(12*1500)</f>
        <v>49000</v>
      </c>
      <c r="M20" s="223" t="s">
        <v>113</v>
      </c>
      <c r="N20" s="224">
        <v>49000</v>
      </c>
      <c r="O20" s="227"/>
      <c r="P20" s="244">
        <v>0.66</v>
      </c>
      <c r="Q20" s="244">
        <f t="shared" si="0"/>
        <v>0.33999999999999997</v>
      </c>
      <c r="R20" s="236">
        <f t="shared" si="1"/>
        <v>32340</v>
      </c>
      <c r="S20" s="236">
        <f t="shared" si="2"/>
        <v>16660</v>
      </c>
      <c r="T20" s="724"/>
      <c r="U20" s="222">
        <v>42004</v>
      </c>
      <c r="V20" s="224">
        <f>IF(N20*ROUND(($A$5-K20)/30,0)/(ROUND((U20-K20)/30,0))&gt;N20,N20,N20*ROUND(($A$5-K20)/30,0)/(ROUND((U20-K20)/30,0)))</f>
        <v>49000</v>
      </c>
      <c r="W20" s="245">
        <f t="shared" si="13"/>
        <v>32340</v>
      </c>
      <c r="X20" s="245">
        <f t="shared" si="14"/>
        <v>16660</v>
      </c>
      <c r="Y20" s="245">
        <f t="shared" si="11"/>
        <v>0</v>
      </c>
      <c r="Z20" s="245">
        <f t="shared" si="12"/>
        <v>0</v>
      </c>
      <c r="AA20" s="245"/>
      <c r="AB20" s="246" t="s">
        <v>277</v>
      </c>
    </row>
    <row r="21" spans="1:28" x14ac:dyDescent="0.35">
      <c r="A21" s="283" t="s">
        <v>89</v>
      </c>
      <c r="B21" s="288" t="s">
        <v>411</v>
      </c>
      <c r="C21" s="225" t="s">
        <v>412</v>
      </c>
      <c r="D21" s="727"/>
      <c r="E21" s="42"/>
      <c r="F21" s="724"/>
      <c r="G21" s="727"/>
      <c r="H21" s="724"/>
      <c r="I21" s="736"/>
      <c r="J21" s="222">
        <v>42006</v>
      </c>
      <c r="K21" s="222">
        <v>42156</v>
      </c>
      <c r="L21" s="224">
        <f>7*126000000/(12*1500)</f>
        <v>49000</v>
      </c>
      <c r="M21" s="223" t="s">
        <v>113</v>
      </c>
      <c r="N21" s="224">
        <v>49000</v>
      </c>
      <c r="O21" s="227"/>
      <c r="P21" s="244">
        <v>0.66</v>
      </c>
      <c r="Q21" s="244">
        <f>1-P21</f>
        <v>0.33999999999999997</v>
      </c>
      <c r="R21" s="236">
        <f>$N21*P21/($P21+$Q21)</f>
        <v>32340</v>
      </c>
      <c r="S21" s="236">
        <f>$N21*Q21/($P21+$Q21)</f>
        <v>16660</v>
      </c>
      <c r="T21" s="724"/>
      <c r="U21" s="222">
        <v>42369</v>
      </c>
      <c r="V21" s="224">
        <f>IF(N21*ROUND(($A$5-K21)/30,0)/(ROUND((U21-K21)/30,0))&gt;N21,N21,N21*ROUND(($A$5-K21)/30,0)/(ROUND((U21-K21)/30,0)))</f>
        <v>49000</v>
      </c>
      <c r="W21" s="245">
        <f t="shared" si="13"/>
        <v>32340</v>
      </c>
      <c r="X21" s="245">
        <f t="shared" si="14"/>
        <v>16660</v>
      </c>
      <c r="Y21" s="245">
        <f t="shared" si="11"/>
        <v>0</v>
      </c>
      <c r="Z21" s="245">
        <f t="shared" si="12"/>
        <v>0</v>
      </c>
      <c r="AA21" s="245"/>
      <c r="AB21" s="246" t="s">
        <v>277</v>
      </c>
    </row>
    <row r="22" spans="1:28" ht="13.15" thickBot="1" x14ac:dyDescent="0.4">
      <c r="A22" s="283" t="s">
        <v>89</v>
      </c>
      <c r="B22" s="291" t="s">
        <v>514</v>
      </c>
      <c r="C22" s="292" t="s">
        <v>515</v>
      </c>
      <c r="D22" s="728"/>
      <c r="E22" s="228"/>
      <c r="F22" s="725"/>
      <c r="G22" s="728"/>
      <c r="H22" s="725"/>
      <c r="I22" s="737"/>
      <c r="J22" s="289">
        <v>42415</v>
      </c>
      <c r="K22" s="289">
        <v>42370</v>
      </c>
      <c r="L22" s="249">
        <v>46305</v>
      </c>
      <c r="M22" s="248" t="s">
        <v>113</v>
      </c>
      <c r="N22" s="249">
        <f>L22</f>
        <v>46305</v>
      </c>
      <c r="O22" s="277"/>
      <c r="P22" s="247">
        <v>0.66</v>
      </c>
      <c r="Q22" s="247">
        <f>1-P22</f>
        <v>0.33999999999999997</v>
      </c>
      <c r="R22" s="434">
        <f>$N22*P22/($P22+$Q22)</f>
        <v>30561.300000000003</v>
      </c>
      <c r="S22" s="434">
        <f>$N22*Q22/($P22+$Q22)</f>
        <v>15743.699999999999</v>
      </c>
      <c r="T22" s="724"/>
      <c r="U22" s="289">
        <v>42551</v>
      </c>
      <c r="V22" s="249">
        <f>IF($A$5&lt;K22,0,IF(N22*ROUND(($A$5-K22)/30,0)/(ROUND((U22-K22)/30,0))&gt;N22,N22,N22*ROUND(($A$5-K22)/30,0)/(ROUND((U22-K22)/30,0))))</f>
        <v>46305</v>
      </c>
      <c r="W22" s="250">
        <f t="shared" si="13"/>
        <v>30561.300000000003</v>
      </c>
      <c r="X22" s="250">
        <f t="shared" si="14"/>
        <v>15743.699999999999</v>
      </c>
      <c r="Y22" s="250">
        <f t="shared" si="11"/>
        <v>0</v>
      </c>
      <c r="Z22" s="250">
        <f t="shared" si="12"/>
        <v>0</v>
      </c>
      <c r="AA22" s="250"/>
      <c r="AB22" s="251" t="s">
        <v>277</v>
      </c>
    </row>
    <row r="23" spans="1:28" ht="12.75" customHeight="1" x14ac:dyDescent="0.35">
      <c r="A23" s="278" t="s">
        <v>89</v>
      </c>
      <c r="B23" s="279" t="s">
        <v>208</v>
      </c>
      <c r="C23" s="280" t="s">
        <v>234</v>
      </c>
      <c r="D23" s="740" t="s">
        <v>174</v>
      </c>
      <c r="E23" s="44"/>
      <c r="F23" s="723" t="s">
        <v>113</v>
      </c>
      <c r="G23" s="726" t="s">
        <v>62</v>
      </c>
      <c r="H23" s="723" t="s">
        <v>71</v>
      </c>
      <c r="I23" s="735" t="s">
        <v>304</v>
      </c>
      <c r="J23" s="240">
        <v>40536</v>
      </c>
      <c r="K23" s="240">
        <v>40483</v>
      </c>
      <c r="L23" s="281">
        <v>99000000</v>
      </c>
      <c r="M23" s="282" t="s">
        <v>149</v>
      </c>
      <c r="N23" s="241">
        <v>65671.641791044807</v>
      </c>
      <c r="O23" s="440"/>
      <c r="P23" s="238">
        <v>0.66</v>
      </c>
      <c r="Q23" s="238">
        <f t="shared" si="0"/>
        <v>0.33999999999999997</v>
      </c>
      <c r="R23" s="239">
        <f t="shared" si="1"/>
        <v>43343.283582089578</v>
      </c>
      <c r="S23" s="239">
        <f t="shared" si="2"/>
        <v>22328.358208955233</v>
      </c>
      <c r="T23" s="723" t="s">
        <v>186</v>
      </c>
      <c r="U23" s="240">
        <v>40847</v>
      </c>
      <c r="V23" s="241">
        <f>IF(N23*ROUND(($A$5-K23)/30,0)/(ROUND((U23-K23)/30,0))&gt;N23,N23,N23*ROUND(($A$5-K23)/30,0)/(ROUND((U23-K23)/30,0)))</f>
        <v>65671.641791044807</v>
      </c>
      <c r="W23" s="242">
        <f t="shared" si="13"/>
        <v>43343.283582089578</v>
      </c>
      <c r="X23" s="242">
        <f t="shared" si="14"/>
        <v>22328.358208955233</v>
      </c>
      <c r="Y23" s="242">
        <f t="shared" si="11"/>
        <v>0</v>
      </c>
      <c r="Z23" s="242">
        <f t="shared" si="12"/>
        <v>0</v>
      </c>
      <c r="AA23" s="242"/>
      <c r="AB23" s="257"/>
    </row>
    <row r="24" spans="1:28" x14ac:dyDescent="0.35">
      <c r="A24" s="283" t="s">
        <v>89</v>
      </c>
      <c r="B24" s="284" t="s">
        <v>209</v>
      </c>
      <c r="C24" s="285" t="s">
        <v>235</v>
      </c>
      <c r="D24" s="741"/>
      <c r="E24" s="42"/>
      <c r="F24" s="724"/>
      <c r="G24" s="727"/>
      <c r="H24" s="724"/>
      <c r="I24" s="736"/>
      <c r="J24" s="222">
        <v>40909</v>
      </c>
      <c r="K24" s="222">
        <v>40848</v>
      </c>
      <c r="L24" s="286">
        <v>99000000</v>
      </c>
      <c r="M24" s="223" t="s">
        <v>149</v>
      </c>
      <c r="N24" s="224">
        <v>65671.64</v>
      </c>
      <c r="O24" s="227"/>
      <c r="P24" s="244">
        <v>0.66</v>
      </c>
      <c r="Q24" s="244">
        <f t="shared" si="0"/>
        <v>0.33999999999999997</v>
      </c>
      <c r="R24" s="236">
        <f t="shared" si="1"/>
        <v>43343.282400000004</v>
      </c>
      <c r="S24" s="236">
        <f t="shared" si="2"/>
        <v>22328.357599999999</v>
      </c>
      <c r="T24" s="724"/>
      <c r="U24" s="222">
        <v>41213</v>
      </c>
      <c r="V24" s="224">
        <f>IF(N24*ROUND(($A$5-K24)/30,0)/(ROUND((U24-K24)/30,0))&gt;N24,N24,N24*ROUND(($A$5-K24)/30,0)/(ROUND((U24-K24)/30,0)))</f>
        <v>65671.64</v>
      </c>
      <c r="W24" s="245">
        <f t="shared" si="13"/>
        <v>43343.282400000004</v>
      </c>
      <c r="X24" s="245">
        <f t="shared" si="14"/>
        <v>22328.357599999999</v>
      </c>
      <c r="Y24" s="245">
        <f t="shared" si="11"/>
        <v>0</v>
      </c>
      <c r="Z24" s="245">
        <f t="shared" si="12"/>
        <v>0</v>
      </c>
      <c r="AA24" s="245"/>
      <c r="AB24" s="246" t="s">
        <v>278</v>
      </c>
    </row>
    <row r="25" spans="1:28" x14ac:dyDescent="0.35">
      <c r="A25" s="283" t="s">
        <v>89</v>
      </c>
      <c r="B25" s="287" t="s">
        <v>210</v>
      </c>
      <c r="C25" s="285" t="s">
        <v>236</v>
      </c>
      <c r="D25" s="741"/>
      <c r="E25" s="42"/>
      <c r="F25" s="724"/>
      <c r="G25" s="727"/>
      <c r="H25" s="724"/>
      <c r="I25" s="736"/>
      <c r="J25" s="222">
        <v>41275</v>
      </c>
      <c r="K25" s="222">
        <v>41214</v>
      </c>
      <c r="L25" s="286">
        <v>99000000</v>
      </c>
      <c r="M25" s="223" t="s">
        <v>149</v>
      </c>
      <c r="N25" s="224">
        <v>65671.64</v>
      </c>
      <c r="O25" s="227"/>
      <c r="P25" s="244">
        <v>0.66</v>
      </c>
      <c r="Q25" s="244">
        <f t="shared" si="0"/>
        <v>0.33999999999999997</v>
      </c>
      <c r="R25" s="236">
        <f t="shared" si="1"/>
        <v>43343.282400000004</v>
      </c>
      <c r="S25" s="236">
        <f t="shared" si="2"/>
        <v>22328.357599999999</v>
      </c>
      <c r="T25" s="724"/>
      <c r="U25" s="222">
        <v>41578</v>
      </c>
      <c r="V25" s="224">
        <f>IF(N25*ROUND(($A$5-K25)/30,0)/(ROUND((U25-K25)/30,0))&gt;N25,N25,N25*ROUND(($A$5-K25)/30,0)/(ROUND((U25-K25)/30,0)))</f>
        <v>65671.64</v>
      </c>
      <c r="W25" s="245">
        <f t="shared" si="13"/>
        <v>43343.282400000004</v>
      </c>
      <c r="X25" s="245">
        <f t="shared" si="14"/>
        <v>22328.357599999999</v>
      </c>
      <c r="Y25" s="245">
        <f t="shared" si="11"/>
        <v>0</v>
      </c>
      <c r="Z25" s="245">
        <f t="shared" si="12"/>
        <v>0</v>
      </c>
      <c r="AA25" s="245"/>
      <c r="AB25" s="246" t="s">
        <v>278</v>
      </c>
    </row>
    <row r="26" spans="1:28" x14ac:dyDescent="0.35">
      <c r="A26" s="283" t="s">
        <v>89</v>
      </c>
      <c r="B26" s="288" t="s">
        <v>414</v>
      </c>
      <c r="C26" s="221" t="s">
        <v>310</v>
      </c>
      <c r="D26" s="741"/>
      <c r="E26" s="42"/>
      <c r="F26" s="724"/>
      <c r="G26" s="727"/>
      <c r="H26" s="724"/>
      <c r="I26" s="736"/>
      <c r="J26" s="222">
        <v>41579</v>
      </c>
      <c r="K26" s="222">
        <v>41579</v>
      </c>
      <c r="L26" s="224">
        <f>2*L27/12</f>
        <v>11000</v>
      </c>
      <c r="M26" s="223" t="s">
        <v>113</v>
      </c>
      <c r="N26" s="224">
        <f>L26</f>
        <v>11000</v>
      </c>
      <c r="O26" s="227"/>
      <c r="P26" s="244">
        <v>0.66</v>
      </c>
      <c r="Q26" s="244">
        <f t="shared" si="0"/>
        <v>0.33999999999999997</v>
      </c>
      <c r="R26" s="236">
        <f t="shared" si="1"/>
        <v>7260</v>
      </c>
      <c r="S26" s="236">
        <f t="shared" si="2"/>
        <v>3739.9999999999995</v>
      </c>
      <c r="T26" s="724"/>
      <c r="U26" s="222">
        <v>41639</v>
      </c>
      <c r="V26" s="224"/>
      <c r="W26" s="245">
        <f t="shared" si="13"/>
        <v>0</v>
      </c>
      <c r="X26" s="245">
        <f t="shared" si="14"/>
        <v>0</v>
      </c>
      <c r="Y26" s="245">
        <f t="shared" si="11"/>
        <v>7260</v>
      </c>
      <c r="Z26" s="245">
        <f t="shared" si="12"/>
        <v>3739.9999999999995</v>
      </c>
      <c r="AA26" s="245"/>
      <c r="AB26" s="246" t="s">
        <v>307</v>
      </c>
    </row>
    <row r="27" spans="1:28" x14ac:dyDescent="0.35">
      <c r="A27" s="283" t="s">
        <v>89</v>
      </c>
      <c r="B27" s="287" t="s">
        <v>282</v>
      </c>
      <c r="C27" s="221" t="s">
        <v>283</v>
      </c>
      <c r="D27" s="741"/>
      <c r="E27" s="42"/>
      <c r="F27" s="724"/>
      <c r="G27" s="727"/>
      <c r="H27" s="724"/>
      <c r="I27" s="736"/>
      <c r="J27" s="222">
        <v>41662</v>
      </c>
      <c r="K27" s="222">
        <v>41640</v>
      </c>
      <c r="L27" s="224">
        <f>5500*12</f>
        <v>66000</v>
      </c>
      <c r="M27" s="223" t="s">
        <v>113</v>
      </c>
      <c r="N27" s="224">
        <f>L27</f>
        <v>66000</v>
      </c>
      <c r="O27" s="227"/>
      <c r="P27" s="244">
        <v>0.66</v>
      </c>
      <c r="Q27" s="244">
        <f t="shared" si="0"/>
        <v>0.33999999999999997</v>
      </c>
      <c r="R27" s="236">
        <f t="shared" si="1"/>
        <v>43560</v>
      </c>
      <c r="S27" s="236">
        <f t="shared" si="2"/>
        <v>22439.999999999996</v>
      </c>
      <c r="T27" s="724"/>
      <c r="U27" s="222">
        <v>42004</v>
      </c>
      <c r="V27" s="224">
        <f>IF(N27*ROUND(($A$5-K27)/30,0)/(ROUND((U27-K27)/30,0))&gt;N27,N27,N27*ROUND(($A$5-K27)/30,0)/(ROUND((U27-K27)/30,0)))</f>
        <v>66000</v>
      </c>
      <c r="W27" s="245">
        <f t="shared" si="13"/>
        <v>43560</v>
      </c>
      <c r="X27" s="245">
        <f t="shared" si="14"/>
        <v>22439.999999999996</v>
      </c>
      <c r="Y27" s="245">
        <f t="shared" si="11"/>
        <v>0</v>
      </c>
      <c r="Z27" s="245">
        <f t="shared" si="12"/>
        <v>0</v>
      </c>
      <c r="AA27" s="245"/>
      <c r="AB27" s="246" t="s">
        <v>277</v>
      </c>
    </row>
    <row r="28" spans="1:28" ht="25.5" x14ac:dyDescent="0.35">
      <c r="A28" s="298" t="s">
        <v>89</v>
      </c>
      <c r="B28" s="299" t="s">
        <v>415</v>
      </c>
      <c r="C28" s="422" t="s">
        <v>416</v>
      </c>
      <c r="D28" s="741"/>
      <c r="E28" s="228"/>
      <c r="F28" s="724"/>
      <c r="G28" s="727"/>
      <c r="H28" s="724"/>
      <c r="I28" s="736"/>
      <c r="J28" s="289">
        <v>42006</v>
      </c>
      <c r="K28" s="289">
        <v>42005</v>
      </c>
      <c r="L28" s="249">
        <f>L26*1.05</f>
        <v>11550</v>
      </c>
      <c r="M28" s="248" t="s">
        <v>113</v>
      </c>
      <c r="N28" s="249">
        <f>L28</f>
        <v>11550</v>
      </c>
      <c r="O28" s="277"/>
      <c r="P28" s="247">
        <v>0.66</v>
      </c>
      <c r="Q28" s="247">
        <f>1-P28</f>
        <v>0.33999999999999997</v>
      </c>
      <c r="R28" s="434">
        <f>$N28*P28/($P28+$Q28)</f>
        <v>7623</v>
      </c>
      <c r="S28" s="434">
        <f>$N28*Q28/($P28+$Q28)</f>
        <v>3926.9999999999995</v>
      </c>
      <c r="T28" s="724"/>
      <c r="U28" s="289">
        <v>42369</v>
      </c>
      <c r="V28" s="249">
        <v>11550</v>
      </c>
      <c r="W28" s="250">
        <f t="shared" si="13"/>
        <v>7623</v>
      </c>
      <c r="X28" s="250">
        <f t="shared" si="14"/>
        <v>3926.9999999999995</v>
      </c>
      <c r="Y28" s="250"/>
      <c r="Z28" s="250"/>
      <c r="AA28" s="250"/>
      <c r="AB28" s="251" t="s">
        <v>511</v>
      </c>
    </row>
    <row r="29" spans="1:28" ht="13.15" thickBot="1" x14ac:dyDescent="0.4">
      <c r="A29" s="283" t="s">
        <v>89</v>
      </c>
      <c r="B29" s="296" t="s">
        <v>556</v>
      </c>
      <c r="C29" s="297" t="s">
        <v>555</v>
      </c>
      <c r="D29" s="742"/>
      <c r="E29" s="43"/>
      <c r="F29" s="725"/>
      <c r="G29" s="728"/>
      <c r="H29" s="725"/>
      <c r="I29" s="737"/>
      <c r="J29" s="262">
        <v>42443</v>
      </c>
      <c r="K29" s="262">
        <v>41579</v>
      </c>
      <c r="L29" s="255">
        <v>11000</v>
      </c>
      <c r="M29" s="389" t="s">
        <v>113</v>
      </c>
      <c r="N29" s="255">
        <f>L29</f>
        <v>11000</v>
      </c>
      <c r="O29" s="441"/>
      <c r="P29" s="252">
        <v>0.66</v>
      </c>
      <c r="Q29" s="252">
        <f t="shared" si="0"/>
        <v>0.33999999999999997</v>
      </c>
      <c r="R29" s="253">
        <f t="shared" si="1"/>
        <v>7260</v>
      </c>
      <c r="S29" s="253">
        <f t="shared" si="2"/>
        <v>3739.9999999999995</v>
      </c>
      <c r="T29" s="725"/>
      <c r="U29" s="262">
        <v>41639</v>
      </c>
      <c r="V29" s="255">
        <f>IF($A$5&lt;K29,0,IF(N29*ROUND(($A$5-K29)/30,0)/(ROUND((U29-K29)/30,0))&gt;N29,N29,N29*ROUND(($A$5-K29)/30,0)/(ROUND((U29-K29)/30,0))))*0</f>
        <v>0</v>
      </c>
      <c r="W29" s="256">
        <f t="shared" si="13"/>
        <v>0</v>
      </c>
      <c r="X29" s="256">
        <f t="shared" si="14"/>
        <v>0</v>
      </c>
      <c r="Y29" s="256">
        <f t="shared" ref="Y29:Y57" si="15">R29-W29</f>
        <v>7260</v>
      </c>
      <c r="Z29" s="256">
        <f t="shared" ref="Z29:Z57" si="16">S29-X29</f>
        <v>3739.9999999999995</v>
      </c>
      <c r="AA29" s="256"/>
      <c r="AB29" s="263" t="s">
        <v>277</v>
      </c>
    </row>
    <row r="30" spans="1:28" x14ac:dyDescent="0.35">
      <c r="A30" s="278" t="s">
        <v>89</v>
      </c>
      <c r="B30" s="279" t="s">
        <v>211</v>
      </c>
      <c r="C30" s="280" t="s">
        <v>237</v>
      </c>
      <c r="D30" s="735" t="s">
        <v>173</v>
      </c>
      <c r="E30" s="44"/>
      <c r="F30" s="723" t="s">
        <v>113</v>
      </c>
      <c r="G30" s="726" t="s">
        <v>62</v>
      </c>
      <c r="H30" s="723" t="s">
        <v>71</v>
      </c>
      <c r="I30" s="735" t="s">
        <v>304</v>
      </c>
      <c r="J30" s="240">
        <v>40536</v>
      </c>
      <c r="K30" s="240">
        <v>40483</v>
      </c>
      <c r="L30" s="281">
        <v>99000000</v>
      </c>
      <c r="M30" s="282" t="s">
        <v>149</v>
      </c>
      <c r="N30" s="241">
        <v>65671.641791044778</v>
      </c>
      <c r="O30" s="440"/>
      <c r="P30" s="238">
        <v>0.66</v>
      </c>
      <c r="Q30" s="238">
        <f t="shared" si="0"/>
        <v>0.33999999999999997</v>
      </c>
      <c r="R30" s="239">
        <f t="shared" si="1"/>
        <v>43343.283582089556</v>
      </c>
      <c r="S30" s="239">
        <f t="shared" si="2"/>
        <v>22328.358208955222</v>
      </c>
      <c r="T30" s="723" t="s">
        <v>185</v>
      </c>
      <c r="U30" s="282">
        <v>40847</v>
      </c>
      <c r="V30" s="241">
        <f>IF(N30*ROUND(($A$5-K30)/30,0)/(ROUND((U30-K30)/30,0))&gt;N30,N30,N30*ROUND(($A$5-K30)/30,0)/(ROUND((U30-K30)/30,0)))</f>
        <v>65671.641791044778</v>
      </c>
      <c r="W30" s="242">
        <f t="shared" si="13"/>
        <v>43343.283582089556</v>
      </c>
      <c r="X30" s="242">
        <f t="shared" si="14"/>
        <v>22328.358208955222</v>
      </c>
      <c r="Y30" s="242">
        <f t="shared" si="15"/>
        <v>0</v>
      </c>
      <c r="Z30" s="242">
        <f t="shared" si="16"/>
        <v>0</v>
      </c>
      <c r="AA30" s="242"/>
      <c r="AB30" s="257"/>
    </row>
    <row r="31" spans="1:28" x14ac:dyDescent="0.35">
      <c r="A31" s="283" t="s">
        <v>89</v>
      </c>
      <c r="B31" s="284" t="s">
        <v>212</v>
      </c>
      <c r="C31" s="285" t="s">
        <v>238</v>
      </c>
      <c r="D31" s="736"/>
      <c r="E31" s="42"/>
      <c r="F31" s="724"/>
      <c r="G31" s="727"/>
      <c r="H31" s="724"/>
      <c r="I31" s="736"/>
      <c r="J31" s="222">
        <v>40909</v>
      </c>
      <c r="K31" s="222">
        <v>40848</v>
      </c>
      <c r="L31" s="286">
        <v>99000000</v>
      </c>
      <c r="M31" s="223" t="s">
        <v>149</v>
      </c>
      <c r="N31" s="224">
        <v>65671.64</v>
      </c>
      <c r="O31" s="227"/>
      <c r="P31" s="244">
        <v>0.66</v>
      </c>
      <c r="Q31" s="244">
        <f t="shared" si="0"/>
        <v>0.33999999999999997</v>
      </c>
      <c r="R31" s="236">
        <f t="shared" si="1"/>
        <v>43343.282400000004</v>
      </c>
      <c r="S31" s="236">
        <f t="shared" si="2"/>
        <v>22328.357599999999</v>
      </c>
      <c r="T31" s="724"/>
      <c r="U31" s="222">
        <v>41213</v>
      </c>
      <c r="V31" s="224">
        <f>IF(N31*ROUND(($A$5-K31)/30,0)/(ROUND((U31-K31)/30,0))&gt;N31,N31,N31*ROUND(($A$5-K31)/30,0)/(ROUND((U31-K31)/30,0)))</f>
        <v>65671.64</v>
      </c>
      <c r="W31" s="245">
        <f t="shared" si="13"/>
        <v>43343.282400000004</v>
      </c>
      <c r="X31" s="245">
        <f t="shared" si="14"/>
        <v>22328.357599999999</v>
      </c>
      <c r="Y31" s="245">
        <f t="shared" si="15"/>
        <v>0</v>
      </c>
      <c r="Z31" s="245">
        <f t="shared" si="16"/>
        <v>0</v>
      </c>
      <c r="AA31" s="245"/>
      <c r="AB31" s="246" t="s">
        <v>278</v>
      </c>
    </row>
    <row r="32" spans="1:28" x14ac:dyDescent="0.35">
      <c r="A32" s="283" t="s">
        <v>89</v>
      </c>
      <c r="B32" s="287" t="s">
        <v>213</v>
      </c>
      <c r="C32" s="285" t="s">
        <v>239</v>
      </c>
      <c r="D32" s="736"/>
      <c r="E32" s="42"/>
      <c r="F32" s="724"/>
      <c r="G32" s="727"/>
      <c r="H32" s="724"/>
      <c r="I32" s="736"/>
      <c r="J32" s="222">
        <v>41275</v>
      </c>
      <c r="K32" s="222">
        <v>41214</v>
      </c>
      <c r="L32" s="286">
        <v>99000000</v>
      </c>
      <c r="M32" s="223" t="s">
        <v>149</v>
      </c>
      <c r="N32" s="224">
        <v>65671.64</v>
      </c>
      <c r="O32" s="227"/>
      <c r="P32" s="244">
        <v>0.66</v>
      </c>
      <c r="Q32" s="244">
        <f t="shared" si="0"/>
        <v>0.33999999999999997</v>
      </c>
      <c r="R32" s="236">
        <f t="shared" si="1"/>
        <v>43343.282400000004</v>
      </c>
      <c r="S32" s="236">
        <f t="shared" si="2"/>
        <v>22328.357599999999</v>
      </c>
      <c r="T32" s="724"/>
      <c r="U32" s="222">
        <v>41578</v>
      </c>
      <c r="V32" s="224">
        <f>IF(N32*ROUND(($A$5-K32)/30,0)/(ROUND((U32-K32)/30,0))&gt;N32,N32,N32*ROUND(($A$5-K32)/30,0)/(ROUND((U32-K32)/30,0)))</f>
        <v>65671.64</v>
      </c>
      <c r="W32" s="245">
        <f t="shared" si="13"/>
        <v>43343.282400000004</v>
      </c>
      <c r="X32" s="245">
        <f t="shared" si="14"/>
        <v>22328.357599999999</v>
      </c>
      <c r="Y32" s="245">
        <f t="shared" si="15"/>
        <v>0</v>
      </c>
      <c r="Z32" s="245">
        <f t="shared" si="16"/>
        <v>0</v>
      </c>
      <c r="AA32" s="245"/>
      <c r="AB32" s="246" t="s">
        <v>278</v>
      </c>
    </row>
    <row r="33" spans="1:28" x14ac:dyDescent="0.35">
      <c r="A33" s="283" t="s">
        <v>89</v>
      </c>
      <c r="B33" s="288" t="s">
        <v>417</v>
      </c>
      <c r="C33" s="221" t="s">
        <v>311</v>
      </c>
      <c r="D33" s="736"/>
      <c r="E33" s="42"/>
      <c r="F33" s="724"/>
      <c r="G33" s="727"/>
      <c r="H33" s="724"/>
      <c r="I33" s="736"/>
      <c r="J33" s="222">
        <v>41579</v>
      </c>
      <c r="K33" s="222">
        <v>41579</v>
      </c>
      <c r="L33" s="224">
        <f>2*L35/12</f>
        <v>1833.3333333333333</v>
      </c>
      <c r="M33" s="223" t="s">
        <v>113</v>
      </c>
      <c r="N33" s="224">
        <f>L33</f>
        <v>1833.3333333333333</v>
      </c>
      <c r="O33" s="227"/>
      <c r="P33" s="244">
        <v>0.66</v>
      </c>
      <c r="Q33" s="244">
        <f t="shared" si="0"/>
        <v>0.33999999999999997</v>
      </c>
      <c r="R33" s="236">
        <f t="shared" si="1"/>
        <v>1210</v>
      </c>
      <c r="S33" s="236">
        <f t="shared" si="2"/>
        <v>623.33333333333326</v>
      </c>
      <c r="T33" s="724"/>
      <c r="U33" s="222">
        <v>41639</v>
      </c>
      <c r="V33" s="224"/>
      <c r="W33" s="245">
        <f t="shared" si="13"/>
        <v>0</v>
      </c>
      <c r="X33" s="245">
        <f t="shared" si="14"/>
        <v>0</v>
      </c>
      <c r="Y33" s="245">
        <f t="shared" si="15"/>
        <v>1210</v>
      </c>
      <c r="Z33" s="245">
        <f t="shared" si="16"/>
        <v>623.33333333333326</v>
      </c>
      <c r="AA33" s="245"/>
      <c r="AB33" s="246" t="s">
        <v>307</v>
      </c>
    </row>
    <row r="34" spans="1:28" x14ac:dyDescent="0.35">
      <c r="A34" s="283" t="s">
        <v>89</v>
      </c>
      <c r="B34" s="288" t="s">
        <v>284</v>
      </c>
      <c r="C34" s="221" t="s">
        <v>285</v>
      </c>
      <c r="D34" s="736"/>
      <c r="E34" s="42"/>
      <c r="F34" s="724"/>
      <c r="G34" s="727"/>
      <c r="H34" s="724"/>
      <c r="I34" s="736"/>
      <c r="J34" s="222">
        <v>41662</v>
      </c>
      <c r="K34" s="222">
        <v>41640</v>
      </c>
      <c r="L34" s="224">
        <f>5500*12</f>
        <v>66000</v>
      </c>
      <c r="M34" s="223" t="s">
        <v>113</v>
      </c>
      <c r="N34" s="224">
        <f>L34</f>
        <v>66000</v>
      </c>
      <c r="O34" s="227"/>
      <c r="P34" s="244">
        <v>0.66</v>
      </c>
      <c r="Q34" s="244">
        <f>1-P34</f>
        <v>0.33999999999999997</v>
      </c>
      <c r="R34" s="236">
        <f>$N34*P34/($P34+$Q34)</f>
        <v>43560</v>
      </c>
      <c r="S34" s="236">
        <f>$N34*Q34/($P34+$Q34)</f>
        <v>22439.999999999996</v>
      </c>
      <c r="T34" s="724"/>
      <c r="U34" s="222">
        <v>42004</v>
      </c>
      <c r="V34" s="224">
        <f>IF(N34*ROUND(($A$5-K34)/30,0)/(ROUND((U34-K34)/30,0))&gt;N34,N34,N34*ROUND(($A$5-K34)/30,0)/(ROUND((U34-K34)/30,0)))</f>
        <v>66000</v>
      </c>
      <c r="W34" s="245">
        <f t="shared" si="13"/>
        <v>43560</v>
      </c>
      <c r="X34" s="245">
        <f t="shared" si="14"/>
        <v>22439.999999999996</v>
      </c>
      <c r="Y34" s="245">
        <f t="shared" si="15"/>
        <v>0</v>
      </c>
      <c r="Z34" s="245">
        <f t="shared" si="16"/>
        <v>0</v>
      </c>
      <c r="AA34" s="245"/>
      <c r="AB34" s="246" t="s">
        <v>277</v>
      </c>
    </row>
    <row r="35" spans="1:28" ht="13.15" thickBot="1" x14ac:dyDescent="0.4">
      <c r="A35" s="283" t="s">
        <v>89</v>
      </c>
      <c r="B35" s="288" t="s">
        <v>557</v>
      </c>
      <c r="C35" s="225" t="s">
        <v>558</v>
      </c>
      <c r="D35" s="737"/>
      <c r="E35" s="42"/>
      <c r="F35" s="725"/>
      <c r="G35" s="728"/>
      <c r="H35" s="725"/>
      <c r="I35" s="737"/>
      <c r="J35" s="262">
        <v>42443</v>
      </c>
      <c r="K35" s="262">
        <v>41579</v>
      </c>
      <c r="L35" s="255">
        <v>11000</v>
      </c>
      <c r="M35" s="223" t="s">
        <v>113</v>
      </c>
      <c r="N35" s="224">
        <f>L35</f>
        <v>11000</v>
      </c>
      <c r="O35" s="227"/>
      <c r="P35" s="244">
        <v>0.66</v>
      </c>
      <c r="Q35" s="244">
        <f t="shared" si="0"/>
        <v>0.33999999999999997</v>
      </c>
      <c r="R35" s="236">
        <f t="shared" si="1"/>
        <v>7260</v>
      </c>
      <c r="S35" s="236">
        <f t="shared" si="2"/>
        <v>3739.9999999999995</v>
      </c>
      <c r="T35" s="724"/>
      <c r="U35" s="262">
        <v>41639</v>
      </c>
      <c r="V35" s="255">
        <f>IF($A$5&lt;K35,0,IF(N35*ROUND(($A$5-K35)/30,0)/(ROUND((U35-K35)/30,0))&gt;N35,N35,N35*ROUND(($A$5-K35)/30,0)/(ROUND((U35-K35)/30,0))))*0</f>
        <v>0</v>
      </c>
      <c r="W35" s="245">
        <f t="shared" si="13"/>
        <v>0</v>
      </c>
      <c r="X35" s="245">
        <f t="shared" si="14"/>
        <v>0</v>
      </c>
      <c r="Y35" s="245">
        <f t="shared" si="15"/>
        <v>7260</v>
      </c>
      <c r="Z35" s="245">
        <f t="shared" si="16"/>
        <v>3739.9999999999995</v>
      </c>
      <c r="AA35" s="245"/>
      <c r="AB35" s="246" t="s">
        <v>277</v>
      </c>
    </row>
    <row r="36" spans="1:28" x14ac:dyDescent="0.35">
      <c r="A36" s="278" t="s">
        <v>89</v>
      </c>
      <c r="B36" s="279" t="s">
        <v>214</v>
      </c>
      <c r="C36" s="280" t="s">
        <v>240</v>
      </c>
      <c r="D36" s="735" t="s">
        <v>197</v>
      </c>
      <c r="E36" s="44"/>
      <c r="F36" s="723" t="s">
        <v>113</v>
      </c>
      <c r="G36" s="726" t="s">
        <v>62</v>
      </c>
      <c r="H36" s="723" t="s">
        <v>71</v>
      </c>
      <c r="I36" s="735" t="s">
        <v>304</v>
      </c>
      <c r="J36" s="240">
        <v>40998</v>
      </c>
      <c r="K36" s="240">
        <v>40998</v>
      </c>
      <c r="L36" s="281">
        <v>18000000</v>
      </c>
      <c r="M36" s="282" t="s">
        <v>149</v>
      </c>
      <c r="N36" s="241">
        <v>11940</v>
      </c>
      <c r="O36" s="440"/>
      <c r="P36" s="238">
        <v>0.66</v>
      </c>
      <c r="Q36" s="238">
        <f t="shared" si="0"/>
        <v>0.33999999999999997</v>
      </c>
      <c r="R36" s="239">
        <f t="shared" si="1"/>
        <v>7880.4000000000005</v>
      </c>
      <c r="S36" s="239">
        <f t="shared" si="2"/>
        <v>4059.5999999999995</v>
      </c>
      <c r="T36" s="723" t="s">
        <v>187</v>
      </c>
      <c r="U36" s="240">
        <v>41362</v>
      </c>
      <c r="V36" s="241">
        <f>IF(N36*ROUND(($A$5-K36)/30,0)/(ROUND((U36-K36)/30,0))&gt;N36,N36,N36*ROUND(($A$5-K36)/30,0)/(ROUND((U36-K36)/30,0)))</f>
        <v>11940</v>
      </c>
      <c r="W36" s="242">
        <f t="shared" si="13"/>
        <v>7880.4000000000005</v>
      </c>
      <c r="X36" s="242">
        <f t="shared" si="14"/>
        <v>4059.5999999999995</v>
      </c>
      <c r="Y36" s="242">
        <f t="shared" si="15"/>
        <v>0</v>
      </c>
      <c r="Z36" s="242">
        <f t="shared" si="16"/>
        <v>0</v>
      </c>
      <c r="AA36" s="242"/>
      <c r="AB36" s="257"/>
    </row>
    <row r="37" spans="1:28" x14ac:dyDescent="0.35">
      <c r="A37" s="283" t="s">
        <v>89</v>
      </c>
      <c r="B37" s="287" t="s">
        <v>252</v>
      </c>
      <c r="C37" s="221" t="s">
        <v>253</v>
      </c>
      <c r="D37" s="736"/>
      <c r="E37" s="42"/>
      <c r="F37" s="724"/>
      <c r="G37" s="727"/>
      <c r="H37" s="724"/>
      <c r="I37" s="736"/>
      <c r="J37" s="222">
        <v>41363</v>
      </c>
      <c r="K37" s="222">
        <v>41363</v>
      </c>
      <c r="L37" s="286">
        <v>18000000</v>
      </c>
      <c r="M37" s="223" t="s">
        <v>149</v>
      </c>
      <c r="N37" s="224">
        <v>11940</v>
      </c>
      <c r="O37" s="227"/>
      <c r="P37" s="244">
        <v>0.66</v>
      </c>
      <c r="Q37" s="244">
        <f t="shared" si="0"/>
        <v>0.33999999999999997</v>
      </c>
      <c r="R37" s="236">
        <f t="shared" si="1"/>
        <v>7880.4000000000005</v>
      </c>
      <c r="S37" s="236">
        <f t="shared" si="2"/>
        <v>4059.5999999999995</v>
      </c>
      <c r="T37" s="724"/>
      <c r="U37" s="222">
        <v>41727</v>
      </c>
      <c r="V37" s="224">
        <f>IF(N37*ROUND(($A$5-K37)/30,0)/(ROUND((U37-K37)/30,0))&gt;N37,N37,N37*ROUND(($A$5-K37)/30,0)/(ROUND((U37-K37)/30,0)))</f>
        <v>11940</v>
      </c>
      <c r="W37" s="245">
        <f t="shared" si="13"/>
        <v>7880.4000000000005</v>
      </c>
      <c r="X37" s="245">
        <f t="shared" si="14"/>
        <v>4059.5999999999995</v>
      </c>
      <c r="Y37" s="245">
        <f t="shared" si="15"/>
        <v>0</v>
      </c>
      <c r="Z37" s="245">
        <f t="shared" si="16"/>
        <v>0</v>
      </c>
      <c r="AA37" s="245"/>
      <c r="AB37" s="246" t="s">
        <v>278</v>
      </c>
    </row>
    <row r="38" spans="1:28" x14ac:dyDescent="0.35">
      <c r="A38" s="283" t="s">
        <v>89</v>
      </c>
      <c r="B38" s="287" t="s">
        <v>323</v>
      </c>
      <c r="C38" s="221" t="s">
        <v>322</v>
      </c>
      <c r="D38" s="736"/>
      <c r="E38" s="42"/>
      <c r="F38" s="724"/>
      <c r="G38" s="727"/>
      <c r="H38" s="724"/>
      <c r="I38" s="736"/>
      <c r="J38" s="222">
        <v>41728</v>
      </c>
      <c r="K38" s="222">
        <v>41728</v>
      </c>
      <c r="L38" s="224">
        <f>9*18000000/(12*1500)</f>
        <v>9000</v>
      </c>
      <c r="M38" s="223" t="s">
        <v>113</v>
      </c>
      <c r="N38" s="224">
        <v>9000</v>
      </c>
      <c r="O38" s="227"/>
      <c r="P38" s="244">
        <v>0.66</v>
      </c>
      <c r="Q38" s="244">
        <f t="shared" si="0"/>
        <v>0.33999999999999997</v>
      </c>
      <c r="R38" s="236">
        <f t="shared" si="1"/>
        <v>5940</v>
      </c>
      <c r="S38" s="236">
        <f t="shared" si="2"/>
        <v>3059.9999999999995</v>
      </c>
      <c r="T38" s="724"/>
      <c r="U38" s="222">
        <v>42004</v>
      </c>
      <c r="V38" s="224">
        <f>IF(N38*ROUND(($A$5-K38)/30,0)/(ROUND((U38-K38)/30,0))&gt;N38,N38,N38*ROUND(($A$5-K38)/30,0)/(ROUND((U38-K38)/30,0)))</f>
        <v>9000</v>
      </c>
      <c r="W38" s="245">
        <f t="shared" si="13"/>
        <v>5940</v>
      </c>
      <c r="X38" s="245">
        <f t="shared" si="14"/>
        <v>3059.9999999999995</v>
      </c>
      <c r="Y38" s="245">
        <f t="shared" si="15"/>
        <v>0</v>
      </c>
      <c r="Z38" s="245">
        <f t="shared" si="16"/>
        <v>0</v>
      </c>
      <c r="AA38" s="245"/>
      <c r="AB38" s="246" t="s">
        <v>277</v>
      </c>
    </row>
    <row r="39" spans="1:28" x14ac:dyDescent="0.35">
      <c r="A39" s="283" t="s">
        <v>89</v>
      </c>
      <c r="B39" s="299" t="s">
        <v>418</v>
      </c>
      <c r="C39" s="422" t="s">
        <v>419</v>
      </c>
      <c r="D39" s="736"/>
      <c r="E39" s="228"/>
      <c r="F39" s="724"/>
      <c r="G39" s="727"/>
      <c r="H39" s="724"/>
      <c r="I39" s="736"/>
      <c r="J39" s="289">
        <v>42006</v>
      </c>
      <c r="K39" s="289">
        <v>42005</v>
      </c>
      <c r="L39" s="249">
        <f>12*L38*1.05/9</f>
        <v>12600</v>
      </c>
      <c r="M39" s="248" t="s">
        <v>113</v>
      </c>
      <c r="N39" s="249">
        <f t="shared" ref="N39:N44" si="17">L39</f>
        <v>12600</v>
      </c>
      <c r="O39" s="277"/>
      <c r="P39" s="247">
        <v>0.66</v>
      </c>
      <c r="Q39" s="247">
        <f>1-P39</f>
        <v>0.33999999999999997</v>
      </c>
      <c r="R39" s="434">
        <f t="shared" ref="R39:S44" si="18">$N39*P39/($P39+$Q39)</f>
        <v>8316</v>
      </c>
      <c r="S39" s="434">
        <f t="shared" si="18"/>
        <v>4284</v>
      </c>
      <c r="T39" s="724"/>
      <c r="U39" s="289">
        <v>42369</v>
      </c>
      <c r="V39" s="249">
        <f t="shared" ref="V39:V44" si="19">IF($A$5&lt;K39,0,IF(N39*ROUND(($A$5-K39)/30,0)/(ROUND((U39-K39)/30,0))&gt;N39,N39,N39*ROUND(($A$5-K39)/30,0)/(ROUND((U39-K39)/30,0))))</f>
        <v>12600</v>
      </c>
      <c r="W39" s="250">
        <f t="shared" si="13"/>
        <v>8316</v>
      </c>
      <c r="X39" s="250">
        <f t="shared" si="14"/>
        <v>4284</v>
      </c>
      <c r="Y39" s="250">
        <f t="shared" si="15"/>
        <v>0</v>
      </c>
      <c r="Z39" s="250">
        <f t="shared" si="16"/>
        <v>0</v>
      </c>
      <c r="AA39" s="250"/>
      <c r="AB39" s="251" t="s">
        <v>277</v>
      </c>
    </row>
    <row r="40" spans="1:28" x14ac:dyDescent="0.35">
      <c r="A40" s="283" t="s">
        <v>89</v>
      </c>
      <c r="B40" s="299" t="s">
        <v>524</v>
      </c>
      <c r="C40" s="422" t="s">
        <v>516</v>
      </c>
      <c r="D40" s="736"/>
      <c r="E40" s="228"/>
      <c r="F40" s="724"/>
      <c r="G40" s="727"/>
      <c r="H40" s="724"/>
      <c r="I40" s="736"/>
      <c r="J40" s="289">
        <v>42415</v>
      </c>
      <c r="K40" s="289">
        <v>42370</v>
      </c>
      <c r="L40" s="249">
        <v>6615</v>
      </c>
      <c r="M40" s="248" t="s">
        <v>113</v>
      </c>
      <c r="N40" s="249">
        <f t="shared" si="17"/>
        <v>6615</v>
      </c>
      <c r="O40" s="277"/>
      <c r="P40" s="247">
        <v>0.66</v>
      </c>
      <c r="Q40" s="247">
        <f>1-P40</f>
        <v>0.33999999999999997</v>
      </c>
      <c r="R40" s="434">
        <f t="shared" si="18"/>
        <v>4365.9000000000005</v>
      </c>
      <c r="S40" s="434">
        <f t="shared" si="18"/>
        <v>2249.1</v>
      </c>
      <c r="T40" s="724"/>
      <c r="U40" s="289">
        <v>42551</v>
      </c>
      <c r="V40" s="249">
        <f t="shared" si="19"/>
        <v>6615</v>
      </c>
      <c r="W40" s="250">
        <f t="shared" si="13"/>
        <v>4365.9000000000005</v>
      </c>
      <c r="X40" s="250">
        <f t="shared" si="14"/>
        <v>2249.1</v>
      </c>
      <c r="Y40" s="250">
        <f t="shared" si="15"/>
        <v>0</v>
      </c>
      <c r="Z40" s="250">
        <f t="shared" si="16"/>
        <v>0</v>
      </c>
      <c r="AA40" s="250"/>
      <c r="AB40" s="251" t="s">
        <v>277</v>
      </c>
    </row>
    <row r="41" spans="1:28" x14ac:dyDescent="0.35">
      <c r="A41" s="283" t="s">
        <v>89</v>
      </c>
      <c r="B41" s="299" t="s">
        <v>561</v>
      </c>
      <c r="C41" s="422" t="s">
        <v>562</v>
      </c>
      <c r="D41" s="736"/>
      <c r="E41" s="228"/>
      <c r="F41" s="724"/>
      <c r="G41" s="727"/>
      <c r="H41" s="724"/>
      <c r="I41" s="736"/>
      <c r="J41" s="289">
        <v>42556</v>
      </c>
      <c r="K41" s="289">
        <v>42552</v>
      </c>
      <c r="L41" s="249">
        <v>6615</v>
      </c>
      <c r="M41" s="248" t="s">
        <v>113</v>
      </c>
      <c r="N41" s="249">
        <f t="shared" si="17"/>
        <v>6615</v>
      </c>
      <c r="O41" s="277"/>
      <c r="P41" s="247">
        <v>0.66</v>
      </c>
      <c r="Q41" s="247">
        <f>1-P41</f>
        <v>0.33999999999999997</v>
      </c>
      <c r="R41" s="434">
        <f>$N41*P41/($P41+$Q41)</f>
        <v>4365.9000000000005</v>
      </c>
      <c r="S41" s="434">
        <f>$N41*Q41/($P41+$Q41)</f>
        <v>2249.1</v>
      </c>
      <c r="T41" s="724"/>
      <c r="U41" s="289">
        <v>42735</v>
      </c>
      <c r="V41" s="249">
        <f t="shared" si="19"/>
        <v>6615</v>
      </c>
      <c r="W41" s="250">
        <f t="shared" si="13"/>
        <v>4365.9000000000005</v>
      </c>
      <c r="X41" s="250">
        <f t="shared" si="14"/>
        <v>2249.1</v>
      </c>
      <c r="Y41" s="250">
        <f t="shared" si="15"/>
        <v>0</v>
      </c>
      <c r="Z41" s="250">
        <f t="shared" si="16"/>
        <v>0</v>
      </c>
      <c r="AA41" s="250"/>
      <c r="AB41" s="251" t="s">
        <v>277</v>
      </c>
    </row>
    <row r="42" spans="1:28" x14ac:dyDescent="0.35">
      <c r="A42" s="283" t="s">
        <v>89</v>
      </c>
      <c r="B42" s="299" t="s">
        <v>593</v>
      </c>
      <c r="C42" s="422" t="s">
        <v>594</v>
      </c>
      <c r="D42" s="736"/>
      <c r="E42" s="228"/>
      <c r="F42" s="724"/>
      <c r="G42" s="727"/>
      <c r="H42" s="724"/>
      <c r="I42" s="736"/>
      <c r="J42" s="289">
        <v>42753</v>
      </c>
      <c r="K42" s="289">
        <v>42736</v>
      </c>
      <c r="L42" s="249">
        <v>15000</v>
      </c>
      <c r="M42" s="248" t="s">
        <v>113</v>
      </c>
      <c r="N42" s="249">
        <f t="shared" si="17"/>
        <v>15000</v>
      </c>
      <c r="O42" s="277"/>
      <c r="P42" s="247">
        <v>0.66</v>
      </c>
      <c r="Q42" s="247">
        <f>1-P42</f>
        <v>0.33999999999999997</v>
      </c>
      <c r="R42" s="434">
        <f>$N42*P42/($P42+$Q42)</f>
        <v>9900</v>
      </c>
      <c r="S42" s="434">
        <f>$N42*Q42/($P42+$Q42)</f>
        <v>5099.9999999999991</v>
      </c>
      <c r="T42" s="724"/>
      <c r="U42" s="289">
        <v>43100</v>
      </c>
      <c r="V42" s="249">
        <f t="shared" si="19"/>
        <v>15000</v>
      </c>
      <c r="W42" s="250">
        <f t="shared" si="13"/>
        <v>9900</v>
      </c>
      <c r="X42" s="250">
        <f t="shared" si="14"/>
        <v>5099.9999999999991</v>
      </c>
      <c r="Y42" s="250">
        <f t="shared" si="15"/>
        <v>0</v>
      </c>
      <c r="Z42" s="250">
        <f t="shared" si="16"/>
        <v>0</v>
      </c>
      <c r="AA42" s="250"/>
      <c r="AB42" s="251" t="s">
        <v>277</v>
      </c>
    </row>
    <row r="43" spans="1:28" x14ac:dyDescent="0.35">
      <c r="A43" s="283" t="s">
        <v>89</v>
      </c>
      <c r="B43" s="299" t="s">
        <v>630</v>
      </c>
      <c r="C43" s="422" t="s">
        <v>631</v>
      </c>
      <c r="D43" s="736"/>
      <c r="E43" s="228"/>
      <c r="F43" s="724"/>
      <c r="G43" s="727"/>
      <c r="H43" s="724"/>
      <c r="I43" s="736"/>
      <c r="J43" s="289">
        <v>43129</v>
      </c>
      <c r="K43" s="289">
        <v>43101</v>
      </c>
      <c r="L43" s="249">
        <v>18000</v>
      </c>
      <c r="M43" s="248" t="s">
        <v>113</v>
      </c>
      <c r="N43" s="249">
        <f t="shared" si="17"/>
        <v>18000</v>
      </c>
      <c r="O43" s="277"/>
      <c r="P43" s="247">
        <v>0.66</v>
      </c>
      <c r="Q43" s="247">
        <f t="shared" ref="Q43" si="20">1-P43</f>
        <v>0.33999999999999997</v>
      </c>
      <c r="R43" s="434">
        <f t="shared" ref="R43" si="21">$N43*P43/($P43+$Q43)</f>
        <v>11880</v>
      </c>
      <c r="S43" s="434">
        <f t="shared" ref="S43" si="22">$N43*Q43/($P43+$Q43)</f>
        <v>6119.9999999999991</v>
      </c>
      <c r="T43" s="724"/>
      <c r="U43" s="289">
        <v>43465</v>
      </c>
      <c r="V43" s="249">
        <f t="shared" si="19"/>
        <v>18000</v>
      </c>
      <c r="W43" s="250">
        <f t="shared" si="13"/>
        <v>11880</v>
      </c>
      <c r="X43" s="250">
        <f t="shared" si="14"/>
        <v>6119.9999999999991</v>
      </c>
      <c r="Y43" s="250">
        <f t="shared" si="15"/>
        <v>0</v>
      </c>
      <c r="Z43" s="250">
        <f t="shared" si="16"/>
        <v>0</v>
      </c>
      <c r="AA43" s="250"/>
      <c r="AB43" s="251" t="s">
        <v>277</v>
      </c>
    </row>
    <row r="44" spans="1:28" ht="13.15" thickBot="1" x14ac:dyDescent="0.4">
      <c r="A44" s="295" t="s">
        <v>87</v>
      </c>
      <c r="B44" s="296" t="s">
        <v>690</v>
      </c>
      <c r="C44" s="297" t="s">
        <v>691</v>
      </c>
      <c r="D44" s="737"/>
      <c r="E44" s="43"/>
      <c r="F44" s="725"/>
      <c r="G44" s="728"/>
      <c r="H44" s="725"/>
      <c r="I44" s="737"/>
      <c r="J44" s="262">
        <v>43482</v>
      </c>
      <c r="K44" s="262">
        <v>43466</v>
      </c>
      <c r="L44" s="255">
        <v>18000</v>
      </c>
      <c r="M44" s="389" t="s">
        <v>113</v>
      </c>
      <c r="N44" s="255">
        <f t="shared" si="17"/>
        <v>18000</v>
      </c>
      <c r="O44" s="441"/>
      <c r="P44" s="252">
        <v>0.66</v>
      </c>
      <c r="Q44" s="252">
        <f t="shared" si="0"/>
        <v>0.33999999999999997</v>
      </c>
      <c r="R44" s="253">
        <f t="shared" si="18"/>
        <v>11880</v>
      </c>
      <c r="S44" s="253">
        <f t="shared" si="18"/>
        <v>6119.9999999999991</v>
      </c>
      <c r="T44" s="725"/>
      <c r="U44" s="262">
        <v>43830</v>
      </c>
      <c r="V44" s="255">
        <f t="shared" si="19"/>
        <v>3000</v>
      </c>
      <c r="W44" s="256">
        <f t="shared" si="13"/>
        <v>1980</v>
      </c>
      <c r="X44" s="256">
        <f t="shared" si="14"/>
        <v>1019.9999999999999</v>
      </c>
      <c r="Y44" s="256">
        <f t="shared" si="15"/>
        <v>9900</v>
      </c>
      <c r="Z44" s="256">
        <f t="shared" si="16"/>
        <v>5099.9999999999991</v>
      </c>
      <c r="AA44" s="256"/>
      <c r="AB44" s="263" t="s">
        <v>277</v>
      </c>
    </row>
    <row r="45" spans="1:28" x14ac:dyDescent="0.35">
      <c r="A45" s="278" t="s">
        <v>89</v>
      </c>
      <c r="B45" s="279" t="s">
        <v>215</v>
      </c>
      <c r="C45" s="280" t="s">
        <v>241</v>
      </c>
      <c r="D45" s="735" t="s">
        <v>176</v>
      </c>
      <c r="E45" s="44"/>
      <c r="F45" s="723" t="s">
        <v>113</v>
      </c>
      <c r="G45" s="726" t="s">
        <v>62</v>
      </c>
      <c r="H45" s="723" t="s">
        <v>71</v>
      </c>
      <c r="I45" s="735" t="s">
        <v>304</v>
      </c>
      <c r="J45" s="240">
        <v>40969</v>
      </c>
      <c r="K45" s="240">
        <v>40998</v>
      </c>
      <c r="L45" s="281">
        <v>73000000</v>
      </c>
      <c r="M45" s="282" t="s">
        <v>149</v>
      </c>
      <c r="N45" s="241">
        <v>48425</v>
      </c>
      <c r="O45" s="440"/>
      <c r="P45" s="238">
        <v>0.66</v>
      </c>
      <c r="Q45" s="238">
        <f t="shared" si="0"/>
        <v>0.33999999999999997</v>
      </c>
      <c r="R45" s="239">
        <f t="shared" si="1"/>
        <v>31960.5</v>
      </c>
      <c r="S45" s="239">
        <f t="shared" si="2"/>
        <v>16464.5</v>
      </c>
      <c r="T45" s="723" t="s">
        <v>188</v>
      </c>
      <c r="U45" s="240">
        <v>41362</v>
      </c>
      <c r="V45" s="241">
        <f>IF(N45*ROUND(($A$5-K45)/30,0)/(ROUND((U45-K45)/30,0))&gt;N45,N45,N45*ROUND(($A$5-K45)/30,0)/(ROUND((U45-K45)/30,0)))</f>
        <v>48425</v>
      </c>
      <c r="W45" s="242">
        <f t="shared" si="13"/>
        <v>31960.5</v>
      </c>
      <c r="X45" s="242">
        <f t="shared" si="14"/>
        <v>16464.5</v>
      </c>
      <c r="Y45" s="242">
        <f t="shared" si="15"/>
        <v>0</v>
      </c>
      <c r="Z45" s="242">
        <f t="shared" si="16"/>
        <v>0</v>
      </c>
      <c r="AA45" s="242"/>
      <c r="AB45" s="257"/>
    </row>
    <row r="46" spans="1:28" x14ac:dyDescent="0.35">
      <c r="A46" s="283" t="s">
        <v>89</v>
      </c>
      <c r="B46" s="287" t="s">
        <v>228</v>
      </c>
      <c r="C46" s="221" t="s">
        <v>242</v>
      </c>
      <c r="D46" s="736"/>
      <c r="E46" s="42"/>
      <c r="F46" s="724"/>
      <c r="G46" s="727"/>
      <c r="H46" s="724"/>
      <c r="I46" s="736"/>
      <c r="J46" s="222">
        <v>41334</v>
      </c>
      <c r="K46" s="222">
        <v>41363</v>
      </c>
      <c r="L46" s="286">
        <v>73000000</v>
      </c>
      <c r="M46" s="223" t="s">
        <v>149</v>
      </c>
      <c r="N46" s="224">
        <v>48425</v>
      </c>
      <c r="O46" s="227"/>
      <c r="P46" s="244">
        <v>0.66</v>
      </c>
      <c r="Q46" s="244">
        <f t="shared" si="0"/>
        <v>0.33999999999999997</v>
      </c>
      <c r="R46" s="236">
        <f t="shared" si="1"/>
        <v>31960.5</v>
      </c>
      <c r="S46" s="236">
        <f t="shared" si="2"/>
        <v>16464.5</v>
      </c>
      <c r="T46" s="724"/>
      <c r="U46" s="222">
        <v>41727</v>
      </c>
      <c r="V46" s="224">
        <f>IF(N46*ROUND(($A$5-K46)/30,0)/(ROUND((U46-K46)/30,0))&gt;N46,N46,N46*ROUND(($A$5-K46)/30,0)/(ROUND((U46-K46)/30,0)))</f>
        <v>48425</v>
      </c>
      <c r="W46" s="245">
        <f t="shared" si="13"/>
        <v>31960.5</v>
      </c>
      <c r="X46" s="245">
        <f t="shared" si="14"/>
        <v>16464.5</v>
      </c>
      <c r="Y46" s="245">
        <f t="shared" si="15"/>
        <v>0</v>
      </c>
      <c r="Z46" s="245">
        <f t="shared" si="16"/>
        <v>0</v>
      </c>
      <c r="AA46" s="245"/>
      <c r="AB46" s="246" t="s">
        <v>278</v>
      </c>
    </row>
    <row r="47" spans="1:28" x14ac:dyDescent="0.35">
      <c r="A47" s="283" t="s">
        <v>89</v>
      </c>
      <c r="B47" s="287" t="s">
        <v>324</v>
      </c>
      <c r="C47" s="221" t="s">
        <v>325</v>
      </c>
      <c r="D47" s="736"/>
      <c r="E47" s="42"/>
      <c r="F47" s="724"/>
      <c r="G47" s="727"/>
      <c r="H47" s="724"/>
      <c r="I47" s="736"/>
      <c r="J47" s="222">
        <v>41728</v>
      </c>
      <c r="K47" s="222">
        <v>41728</v>
      </c>
      <c r="L47" s="224">
        <f>9*73000000/(12*1500)</f>
        <v>36500</v>
      </c>
      <c r="M47" s="223" t="s">
        <v>113</v>
      </c>
      <c r="N47" s="224">
        <v>36500</v>
      </c>
      <c r="O47" s="227"/>
      <c r="P47" s="244">
        <v>0.66</v>
      </c>
      <c r="Q47" s="244">
        <f t="shared" si="0"/>
        <v>0.33999999999999997</v>
      </c>
      <c r="R47" s="236">
        <f t="shared" si="1"/>
        <v>24090</v>
      </c>
      <c r="S47" s="236">
        <f t="shared" si="2"/>
        <v>12409.999999999998</v>
      </c>
      <c r="T47" s="724"/>
      <c r="U47" s="222">
        <v>42004</v>
      </c>
      <c r="V47" s="224">
        <f>IF(N47*ROUND(($A$5-K47)/30,0)/(ROUND((U47-K47)/30,0))&gt;N47,N47,N47*ROUND(($A$5-K47)/30,0)/(ROUND((U47-K47)/30,0)))</f>
        <v>36500</v>
      </c>
      <c r="W47" s="245">
        <f t="shared" si="13"/>
        <v>24090</v>
      </c>
      <c r="X47" s="245">
        <f t="shared" si="14"/>
        <v>12409.999999999998</v>
      </c>
      <c r="Y47" s="245">
        <f t="shared" si="15"/>
        <v>0</v>
      </c>
      <c r="Z47" s="245">
        <f t="shared" si="16"/>
        <v>0</v>
      </c>
      <c r="AA47" s="245"/>
      <c r="AB47" s="246" t="s">
        <v>277</v>
      </c>
    </row>
    <row r="48" spans="1:28" ht="13.15" thickBot="1" x14ac:dyDescent="0.4">
      <c r="A48" s="283" t="s">
        <v>89</v>
      </c>
      <c r="B48" s="299" t="s">
        <v>420</v>
      </c>
      <c r="C48" s="422" t="s">
        <v>421</v>
      </c>
      <c r="D48" s="737"/>
      <c r="E48" s="228"/>
      <c r="F48" s="725"/>
      <c r="G48" s="728"/>
      <c r="H48" s="725"/>
      <c r="I48" s="737"/>
      <c r="J48" s="289">
        <v>42006</v>
      </c>
      <c r="K48" s="289">
        <v>42005</v>
      </c>
      <c r="L48" s="249">
        <v>51093</v>
      </c>
      <c r="M48" s="248" t="s">
        <v>113</v>
      </c>
      <c r="N48" s="249">
        <f>L48</f>
        <v>51093</v>
      </c>
      <c r="O48" s="277"/>
      <c r="P48" s="247">
        <v>0.66</v>
      </c>
      <c r="Q48" s="247">
        <f>1-P48</f>
        <v>0.33999999999999997</v>
      </c>
      <c r="R48" s="434">
        <f>$N48*P48/($P48+$Q48)</f>
        <v>33721.380000000005</v>
      </c>
      <c r="S48" s="434">
        <f>$N48*Q48/($P48+$Q48)</f>
        <v>17371.62</v>
      </c>
      <c r="T48" s="724"/>
      <c r="U48" s="289">
        <v>42369</v>
      </c>
      <c r="V48" s="249">
        <f>IF($A$5&lt;K48,0,IF(N48*ROUND(($A$5-K48)/30,0)/(ROUND((U48-K48)/30,0))&gt;N48,N48,N48*ROUND(($A$5-K48)/30,0)/(ROUND((U48-K48)/30,0))))</f>
        <v>51093</v>
      </c>
      <c r="W48" s="250">
        <f t="shared" si="13"/>
        <v>33721.380000000005</v>
      </c>
      <c r="X48" s="250">
        <f t="shared" si="14"/>
        <v>17371.62</v>
      </c>
      <c r="Y48" s="250">
        <f t="shared" si="15"/>
        <v>0</v>
      </c>
      <c r="Z48" s="250">
        <f t="shared" si="16"/>
        <v>0</v>
      </c>
      <c r="AA48" s="250"/>
      <c r="AB48" s="251" t="s">
        <v>277</v>
      </c>
    </row>
    <row r="49" spans="1:28" x14ac:dyDescent="0.35">
      <c r="A49" s="278" t="s">
        <v>89</v>
      </c>
      <c r="B49" s="279" t="s">
        <v>216</v>
      </c>
      <c r="C49" s="280" t="s">
        <v>243</v>
      </c>
      <c r="D49" s="735" t="s">
        <v>177</v>
      </c>
      <c r="E49" s="44"/>
      <c r="F49" s="723" t="s">
        <v>113</v>
      </c>
      <c r="G49" s="726" t="s">
        <v>62</v>
      </c>
      <c r="H49" s="723" t="s">
        <v>71</v>
      </c>
      <c r="I49" s="735" t="s">
        <v>304</v>
      </c>
      <c r="J49" s="240">
        <v>40969</v>
      </c>
      <c r="K49" s="240">
        <v>40969</v>
      </c>
      <c r="L49" s="281">
        <v>108000000</v>
      </c>
      <c r="M49" s="282" t="s">
        <v>149</v>
      </c>
      <c r="N49" s="241">
        <v>71641.791044776124</v>
      </c>
      <c r="O49" s="440"/>
      <c r="P49" s="238">
        <v>0.66</v>
      </c>
      <c r="Q49" s="238">
        <f t="shared" si="0"/>
        <v>0.33999999999999997</v>
      </c>
      <c r="R49" s="239">
        <f t="shared" si="1"/>
        <v>47283.582089552241</v>
      </c>
      <c r="S49" s="239">
        <f t="shared" si="2"/>
        <v>24358.208955223879</v>
      </c>
      <c r="T49" s="723" t="s">
        <v>189</v>
      </c>
      <c r="U49" s="240">
        <v>41333</v>
      </c>
      <c r="V49" s="241">
        <f>IF(N49*ROUND(($A$5-K49)/30,0)/(ROUND((U49-K49)/30,0))&gt;N49,N49,N49*ROUND(($A$5-K49)/30,0)/(ROUND((U49-K49)/30,0)))</f>
        <v>71641.791044776124</v>
      </c>
      <c r="W49" s="242">
        <f t="shared" si="13"/>
        <v>47283.582089552241</v>
      </c>
      <c r="X49" s="242">
        <f t="shared" si="14"/>
        <v>24358.208955223879</v>
      </c>
      <c r="Y49" s="242">
        <f t="shared" si="15"/>
        <v>0</v>
      </c>
      <c r="Z49" s="242">
        <f t="shared" si="16"/>
        <v>0</v>
      </c>
      <c r="AA49" s="242"/>
      <c r="AB49" s="257"/>
    </row>
    <row r="50" spans="1:28" x14ac:dyDescent="0.35">
      <c r="A50" s="283" t="s">
        <v>89</v>
      </c>
      <c r="B50" s="287" t="s">
        <v>254</v>
      </c>
      <c r="C50" s="221" t="s">
        <v>255</v>
      </c>
      <c r="D50" s="736"/>
      <c r="E50" s="42"/>
      <c r="F50" s="724"/>
      <c r="G50" s="727"/>
      <c r="H50" s="724"/>
      <c r="I50" s="736"/>
      <c r="J50" s="222">
        <v>41334</v>
      </c>
      <c r="K50" s="222">
        <v>41334</v>
      </c>
      <c r="L50" s="286">
        <v>108000000</v>
      </c>
      <c r="M50" s="223" t="s">
        <v>149</v>
      </c>
      <c r="N50" s="224">
        <v>71641.791044776124</v>
      </c>
      <c r="O50" s="227"/>
      <c r="P50" s="244">
        <v>0.66</v>
      </c>
      <c r="Q50" s="244">
        <f t="shared" si="0"/>
        <v>0.33999999999999997</v>
      </c>
      <c r="R50" s="236">
        <f t="shared" si="1"/>
        <v>47283.582089552241</v>
      </c>
      <c r="S50" s="236">
        <f t="shared" si="2"/>
        <v>24358.208955223879</v>
      </c>
      <c r="T50" s="724"/>
      <c r="U50" s="222">
        <v>41698</v>
      </c>
      <c r="V50" s="224">
        <f>IF(N50*ROUND(($A$5-K50)/30,0)/(ROUND((U50-K50)/30,0))&gt;N50,N50,N50*ROUND(($A$5-K50)/30,0)/(ROUND((U50-K50)/30,0)))</f>
        <v>71641.791044776124</v>
      </c>
      <c r="W50" s="245">
        <f t="shared" si="13"/>
        <v>47283.582089552241</v>
      </c>
      <c r="X50" s="245">
        <f t="shared" si="14"/>
        <v>24358.208955223879</v>
      </c>
      <c r="Y50" s="245">
        <f t="shared" si="15"/>
        <v>0</v>
      </c>
      <c r="Z50" s="245">
        <f t="shared" si="16"/>
        <v>0</v>
      </c>
      <c r="AA50" s="245"/>
      <c r="AB50" s="246" t="s">
        <v>278</v>
      </c>
    </row>
    <row r="51" spans="1:28" x14ac:dyDescent="0.35">
      <c r="A51" s="283" t="s">
        <v>89</v>
      </c>
      <c r="B51" s="287" t="s">
        <v>306</v>
      </c>
      <c r="C51" s="221" t="s">
        <v>305</v>
      </c>
      <c r="D51" s="736"/>
      <c r="E51" s="42"/>
      <c r="F51" s="724"/>
      <c r="G51" s="727"/>
      <c r="H51" s="724"/>
      <c r="I51" s="736"/>
      <c r="J51" s="222">
        <v>41699</v>
      </c>
      <c r="K51" s="222">
        <v>41699</v>
      </c>
      <c r="L51" s="224">
        <f>(10/12)*L50/1500</f>
        <v>60000</v>
      </c>
      <c r="M51" s="223" t="s">
        <v>113</v>
      </c>
      <c r="N51" s="224">
        <v>60000</v>
      </c>
      <c r="O51" s="227"/>
      <c r="P51" s="244">
        <v>0.66</v>
      </c>
      <c r="Q51" s="244">
        <f t="shared" si="0"/>
        <v>0.33999999999999997</v>
      </c>
      <c r="R51" s="236">
        <f t="shared" si="1"/>
        <v>39600</v>
      </c>
      <c r="S51" s="236">
        <f t="shared" si="2"/>
        <v>20399.999999999996</v>
      </c>
      <c r="T51" s="724"/>
      <c r="U51" s="222">
        <v>42004</v>
      </c>
      <c r="V51" s="224">
        <f>IF(N51*ROUND(($A$5-K51)/30,0)/(ROUND((U51-K51)/30,0))&gt;N51,N51,N51*ROUND(($A$5-K51)/30,0)/(ROUND((U51-K51)/30,0)))</f>
        <v>60000</v>
      </c>
      <c r="W51" s="245">
        <f t="shared" si="13"/>
        <v>39600</v>
      </c>
      <c r="X51" s="245">
        <f t="shared" si="14"/>
        <v>20399.999999999996</v>
      </c>
      <c r="Y51" s="245">
        <f t="shared" si="15"/>
        <v>0</v>
      </c>
      <c r="Z51" s="245">
        <f t="shared" si="16"/>
        <v>0</v>
      </c>
      <c r="AA51" s="245"/>
      <c r="AB51" s="246" t="s">
        <v>277</v>
      </c>
    </row>
    <row r="52" spans="1:28" x14ac:dyDescent="0.35">
      <c r="A52" s="283" t="s">
        <v>89</v>
      </c>
      <c r="B52" s="287" t="s">
        <v>422</v>
      </c>
      <c r="C52" s="221" t="s">
        <v>423</v>
      </c>
      <c r="D52" s="736"/>
      <c r="E52" s="228"/>
      <c r="F52" s="724"/>
      <c r="G52" s="727"/>
      <c r="H52" s="724"/>
      <c r="I52" s="736"/>
      <c r="J52" s="289">
        <v>42006</v>
      </c>
      <c r="K52" s="289">
        <v>42005</v>
      </c>
      <c r="L52" s="249">
        <f>L51*1.05*12/10</f>
        <v>75600</v>
      </c>
      <c r="M52" s="248" t="s">
        <v>113</v>
      </c>
      <c r="N52" s="249">
        <f>L52</f>
        <v>75600</v>
      </c>
      <c r="O52" s="277"/>
      <c r="P52" s="247">
        <v>0.66</v>
      </c>
      <c r="Q52" s="247">
        <f>1-P52</f>
        <v>0.33999999999999997</v>
      </c>
      <c r="R52" s="434">
        <f t="shared" ref="R52:S55" si="23">$N52*P52/($P52+$Q52)</f>
        <v>49896</v>
      </c>
      <c r="S52" s="434">
        <f t="shared" si="23"/>
        <v>25703.999999999996</v>
      </c>
      <c r="T52" s="724"/>
      <c r="U52" s="289">
        <v>42369</v>
      </c>
      <c r="V52" s="249">
        <f>IF($A$5&lt;K52,0,IF(N52*ROUND(($A$5-K52)/30,0)/(ROUND((U52-K52)/30,0))&gt;N52,N52,N52*ROUND(($A$5-K52)/30,0)/(ROUND((U52-K52)/30,0))))</f>
        <v>75600</v>
      </c>
      <c r="W52" s="250">
        <f t="shared" si="13"/>
        <v>49896</v>
      </c>
      <c r="X52" s="250">
        <f t="shared" si="14"/>
        <v>25703.999999999996</v>
      </c>
      <c r="Y52" s="250">
        <f t="shared" si="15"/>
        <v>0</v>
      </c>
      <c r="Z52" s="250">
        <f t="shared" si="16"/>
        <v>0</v>
      </c>
      <c r="AA52" s="250"/>
      <c r="AB52" s="251" t="s">
        <v>277</v>
      </c>
    </row>
    <row r="53" spans="1:28" x14ac:dyDescent="0.35">
      <c r="A53" s="283" t="s">
        <v>89</v>
      </c>
      <c r="B53" s="287" t="s">
        <v>525</v>
      </c>
      <c r="C53" s="221" t="s">
        <v>517</v>
      </c>
      <c r="D53" s="736"/>
      <c r="E53" s="228"/>
      <c r="F53" s="724"/>
      <c r="G53" s="727"/>
      <c r="H53" s="724"/>
      <c r="I53" s="736"/>
      <c r="J53" s="289">
        <v>42415</v>
      </c>
      <c r="K53" s="289">
        <v>42370</v>
      </c>
      <c r="L53" s="249">
        <v>39690</v>
      </c>
      <c r="M53" s="248" t="s">
        <v>113</v>
      </c>
      <c r="N53" s="249">
        <f>L53</f>
        <v>39690</v>
      </c>
      <c r="O53" s="277"/>
      <c r="P53" s="247">
        <v>0.66</v>
      </c>
      <c r="Q53" s="247">
        <f>1-P53</f>
        <v>0.33999999999999997</v>
      </c>
      <c r="R53" s="434">
        <f t="shared" si="23"/>
        <v>26195.4</v>
      </c>
      <c r="S53" s="434">
        <f t="shared" si="23"/>
        <v>13494.599999999999</v>
      </c>
      <c r="T53" s="724"/>
      <c r="U53" s="289">
        <v>42551</v>
      </c>
      <c r="V53" s="249">
        <f>IF($A$5&lt;K53,0,IF(N53*ROUND(($A$5-K53)/30,0)/(ROUND((U53-K53)/30,0))&gt;N53,N53,N53*ROUND(($A$5-K53)/30,0)/(ROUND((U53-K53)/30,0))))</f>
        <v>39690</v>
      </c>
      <c r="W53" s="250">
        <f t="shared" si="13"/>
        <v>26195.4</v>
      </c>
      <c r="X53" s="250">
        <f t="shared" si="14"/>
        <v>13494.599999999999</v>
      </c>
      <c r="Y53" s="250">
        <f t="shared" si="15"/>
        <v>0</v>
      </c>
      <c r="Z53" s="250">
        <f t="shared" si="16"/>
        <v>0</v>
      </c>
      <c r="AA53" s="250"/>
      <c r="AB53" s="251" t="s">
        <v>277</v>
      </c>
    </row>
    <row r="54" spans="1:28" x14ac:dyDescent="0.35">
      <c r="A54" s="283" t="s">
        <v>89</v>
      </c>
      <c r="B54" s="287" t="s">
        <v>563</v>
      </c>
      <c r="C54" s="221" t="s">
        <v>564</v>
      </c>
      <c r="D54" s="736"/>
      <c r="E54" s="228"/>
      <c r="F54" s="724"/>
      <c r="G54" s="727"/>
      <c r="H54" s="724"/>
      <c r="I54" s="736"/>
      <c r="J54" s="289">
        <v>42556</v>
      </c>
      <c r="K54" s="289">
        <v>42552</v>
      </c>
      <c r="L54" s="249">
        <v>39690</v>
      </c>
      <c r="M54" s="248" t="s">
        <v>113</v>
      </c>
      <c r="N54" s="249">
        <f>L54</f>
        <v>39690</v>
      </c>
      <c r="O54" s="277"/>
      <c r="P54" s="247">
        <v>0.66</v>
      </c>
      <c r="Q54" s="247">
        <f>1-P54</f>
        <v>0.33999999999999997</v>
      </c>
      <c r="R54" s="434">
        <f t="shared" si="23"/>
        <v>26195.4</v>
      </c>
      <c r="S54" s="434">
        <f t="shared" si="23"/>
        <v>13494.599999999999</v>
      </c>
      <c r="T54" s="724"/>
      <c r="U54" s="289">
        <v>42735</v>
      </c>
      <c r="V54" s="249">
        <f>IF($A$5&lt;K54,0,IF(N54*ROUND(($A$5-K54)/30,0)/(ROUND((U54-K54)/30,0))&gt;N54,N54,N54*ROUND(($A$5-K54)/30,0)/(ROUND((U54-K54)/30,0))))</f>
        <v>39690</v>
      </c>
      <c r="W54" s="250">
        <f t="shared" si="13"/>
        <v>26195.4</v>
      </c>
      <c r="X54" s="250">
        <f t="shared" si="14"/>
        <v>13494.599999999999</v>
      </c>
      <c r="Y54" s="250">
        <f t="shared" si="15"/>
        <v>0</v>
      </c>
      <c r="Z54" s="250">
        <f t="shared" si="16"/>
        <v>0</v>
      </c>
      <c r="AA54" s="250"/>
      <c r="AB54" s="251" t="s">
        <v>277</v>
      </c>
    </row>
    <row r="55" spans="1:28" x14ac:dyDescent="0.35">
      <c r="A55" s="283" t="s">
        <v>89</v>
      </c>
      <c r="B55" s="287" t="s">
        <v>596</v>
      </c>
      <c r="C55" s="221" t="s">
        <v>595</v>
      </c>
      <c r="D55" s="736"/>
      <c r="E55" s="228"/>
      <c r="F55" s="724"/>
      <c r="G55" s="727"/>
      <c r="H55" s="724"/>
      <c r="I55" s="736"/>
      <c r="J55" s="289">
        <v>42753</v>
      </c>
      <c r="K55" s="289">
        <v>42736</v>
      </c>
      <c r="L55" s="249">
        <v>79380</v>
      </c>
      <c r="M55" s="248" t="s">
        <v>113</v>
      </c>
      <c r="N55" s="249">
        <f>L55</f>
        <v>79380</v>
      </c>
      <c r="O55" s="277"/>
      <c r="P55" s="247">
        <v>0.66</v>
      </c>
      <c r="Q55" s="247">
        <f>1-P55</f>
        <v>0.33999999999999997</v>
      </c>
      <c r="R55" s="434">
        <f t="shared" si="23"/>
        <v>52390.8</v>
      </c>
      <c r="S55" s="434">
        <f t="shared" si="23"/>
        <v>26989.199999999997</v>
      </c>
      <c r="T55" s="724"/>
      <c r="U55" s="289">
        <v>43100</v>
      </c>
      <c r="V55" s="249">
        <f>IF($A$5&lt;K55,0,IF(N55*ROUND(($A$5-K55)/30,0)/(ROUND((U55-K55)/30,0))&gt;N55,N55,N55*ROUND(($A$5-K55)/30,0)/(ROUND((U55-K55)/30,0))))</f>
        <v>79380</v>
      </c>
      <c r="W55" s="250">
        <f t="shared" si="13"/>
        <v>52390.8</v>
      </c>
      <c r="X55" s="250">
        <f t="shared" si="14"/>
        <v>26989.199999999997</v>
      </c>
      <c r="Y55" s="250">
        <f t="shared" si="15"/>
        <v>0</v>
      </c>
      <c r="Z55" s="250">
        <f t="shared" si="16"/>
        <v>0</v>
      </c>
      <c r="AA55" s="250"/>
      <c r="AB55" s="251" t="s">
        <v>277</v>
      </c>
    </row>
    <row r="56" spans="1:28" ht="13.15" thickBot="1" x14ac:dyDescent="0.4">
      <c r="A56" s="295" t="s">
        <v>87</v>
      </c>
      <c r="B56" s="288" t="s">
        <v>632</v>
      </c>
      <c r="C56" s="225" t="s">
        <v>633</v>
      </c>
      <c r="D56" s="737"/>
      <c r="E56" s="43"/>
      <c r="F56" s="725"/>
      <c r="G56" s="728"/>
      <c r="H56" s="725"/>
      <c r="I56" s="737"/>
      <c r="J56" s="262">
        <v>43129</v>
      </c>
      <c r="K56" s="262">
        <v>43101</v>
      </c>
      <c r="L56" s="255">
        <v>90565</v>
      </c>
      <c r="M56" s="389" t="s">
        <v>113</v>
      </c>
      <c r="N56" s="255">
        <f>L56</f>
        <v>90565</v>
      </c>
      <c r="O56" s="441"/>
      <c r="P56" s="252">
        <v>0.66</v>
      </c>
      <c r="Q56" s="252">
        <f t="shared" si="0"/>
        <v>0.33999999999999997</v>
      </c>
      <c r="R56" s="253">
        <f>$N56*P56/(P56+Q56*1.11)</f>
        <v>57617.987275882006</v>
      </c>
      <c r="S56" s="253">
        <f>$N56*Q56*1.11/(P56+Q56*1.11)</f>
        <v>32947.012724117987</v>
      </c>
      <c r="T56" s="725"/>
      <c r="U56" s="262">
        <v>43465</v>
      </c>
      <c r="V56" s="255">
        <f>IF($A$5&lt;K56,0,IF(N56*ROUND(($A$5-K56)/30,0)/(ROUND((U56-K56)/30,0))&gt;N56,N56,N56*ROUND(($A$5-K56)/30,0)/(ROUND((U56-K56)/30,0))))</f>
        <v>90565</v>
      </c>
      <c r="W56" s="256">
        <f>V56*P56/(P56+Q56*1.11)</f>
        <v>57617.987275882006</v>
      </c>
      <c r="X56" s="256">
        <f>Q56*V56*1.11/(P56+Q56*1.11)</f>
        <v>32947.012724117987</v>
      </c>
      <c r="Y56" s="256">
        <f t="shared" si="15"/>
        <v>0</v>
      </c>
      <c r="Z56" s="256">
        <f t="shared" si="16"/>
        <v>0</v>
      </c>
      <c r="AA56" s="256"/>
      <c r="AB56" s="263" t="s">
        <v>277</v>
      </c>
    </row>
    <row r="57" spans="1:28" x14ac:dyDescent="0.35">
      <c r="A57" s="278" t="s">
        <v>89</v>
      </c>
      <c r="B57" s="279" t="s">
        <v>217</v>
      </c>
      <c r="C57" s="280" t="s">
        <v>244</v>
      </c>
      <c r="D57" s="735" t="s">
        <v>178</v>
      </c>
      <c r="E57" s="44"/>
      <c r="F57" s="723" t="s">
        <v>113</v>
      </c>
      <c r="G57" s="726" t="s">
        <v>62</v>
      </c>
      <c r="H57" s="723" t="s">
        <v>71</v>
      </c>
      <c r="I57" s="735" t="s">
        <v>304</v>
      </c>
      <c r="J57" s="240">
        <v>40969</v>
      </c>
      <c r="K57" s="240">
        <v>40998</v>
      </c>
      <c r="L57" s="281">
        <v>100000000</v>
      </c>
      <c r="M57" s="282" t="s">
        <v>149</v>
      </c>
      <c r="N57" s="241">
        <v>66335</v>
      </c>
      <c r="O57" s="440"/>
      <c r="P57" s="238">
        <v>0.66</v>
      </c>
      <c r="Q57" s="238">
        <f t="shared" si="0"/>
        <v>0.33999999999999997</v>
      </c>
      <c r="R57" s="239">
        <f t="shared" si="1"/>
        <v>43781.1</v>
      </c>
      <c r="S57" s="239">
        <f t="shared" si="2"/>
        <v>22553.899999999998</v>
      </c>
      <c r="T57" s="723" t="s">
        <v>190</v>
      </c>
      <c r="U57" s="240">
        <v>41362</v>
      </c>
      <c r="V57" s="241">
        <f>IF(N57*ROUND(($A$5-K57)/30,0)/(ROUND((U57-K57)/30,0))&gt;N57,N57,N57*ROUND(($A$5-K57)/30,0)/(ROUND((U57-K57)/30,0)))</f>
        <v>66335</v>
      </c>
      <c r="W57" s="242">
        <f t="shared" ref="W57:W73" si="24">V57*P57</f>
        <v>43781.1</v>
      </c>
      <c r="X57" s="242">
        <f t="shared" ref="X57:X73" si="25">Q57*V57</f>
        <v>22553.899999999998</v>
      </c>
      <c r="Y57" s="242">
        <f t="shared" si="15"/>
        <v>0</v>
      </c>
      <c r="Z57" s="242">
        <f t="shared" si="16"/>
        <v>0</v>
      </c>
      <c r="AA57" s="242"/>
      <c r="AB57" s="257"/>
    </row>
    <row r="58" spans="1:28" ht="13.15" thickBot="1" x14ac:dyDescent="0.4">
      <c r="A58" s="283" t="s">
        <v>89</v>
      </c>
      <c r="B58" s="287" t="s">
        <v>256</v>
      </c>
      <c r="C58" s="221" t="s">
        <v>257</v>
      </c>
      <c r="D58" s="737"/>
      <c r="E58" s="42"/>
      <c r="F58" s="725"/>
      <c r="G58" s="728"/>
      <c r="H58" s="725"/>
      <c r="I58" s="737"/>
      <c r="J58" s="222">
        <v>41334</v>
      </c>
      <c r="K58" s="222">
        <v>41363</v>
      </c>
      <c r="L58" s="286">
        <v>100000000</v>
      </c>
      <c r="M58" s="223" t="s">
        <v>149</v>
      </c>
      <c r="N58" s="224">
        <v>66335</v>
      </c>
      <c r="O58" s="227"/>
      <c r="P58" s="252">
        <v>0.66</v>
      </c>
      <c r="Q58" s="252">
        <f t="shared" ref="Q58:Q103" si="26">1-P58</f>
        <v>0.33999999999999997</v>
      </c>
      <c r="R58" s="253">
        <f t="shared" ref="R58:S61" si="27">$N58*P58/($P58+$Q58)</f>
        <v>43781.1</v>
      </c>
      <c r="S58" s="253">
        <f t="shared" si="27"/>
        <v>22553.899999999998</v>
      </c>
      <c r="T58" s="724"/>
      <c r="U58" s="222">
        <v>41670</v>
      </c>
      <c r="V58" s="224">
        <f>N58*10/12</f>
        <v>55279.166666666664</v>
      </c>
      <c r="W58" s="245">
        <f t="shared" si="24"/>
        <v>36484.25</v>
      </c>
      <c r="X58" s="245">
        <f t="shared" si="25"/>
        <v>18794.916666666664</v>
      </c>
      <c r="Y58" s="245"/>
      <c r="Z58" s="245"/>
      <c r="AA58" s="245"/>
      <c r="AB58" s="246" t="s">
        <v>278</v>
      </c>
    </row>
    <row r="59" spans="1:28" x14ac:dyDescent="0.35">
      <c r="A59" s="278" t="s">
        <v>89</v>
      </c>
      <c r="B59" s="279" t="s">
        <v>218</v>
      </c>
      <c r="C59" s="280" t="s">
        <v>245</v>
      </c>
      <c r="D59" s="726" t="s">
        <v>623</v>
      </c>
      <c r="E59" s="44"/>
      <c r="F59" s="723" t="s">
        <v>113</v>
      </c>
      <c r="G59" s="726" t="s">
        <v>62</v>
      </c>
      <c r="H59" s="723" t="s">
        <v>71</v>
      </c>
      <c r="I59" s="735" t="s">
        <v>304</v>
      </c>
      <c r="J59" s="240">
        <v>40969</v>
      </c>
      <c r="K59" s="240">
        <v>40969</v>
      </c>
      <c r="L59" s="281">
        <v>72000000</v>
      </c>
      <c r="M59" s="282" t="s">
        <v>149</v>
      </c>
      <c r="N59" s="241">
        <v>47761</v>
      </c>
      <c r="O59" s="440"/>
      <c r="P59" s="238">
        <v>0.66</v>
      </c>
      <c r="Q59" s="238">
        <f t="shared" si="26"/>
        <v>0.33999999999999997</v>
      </c>
      <c r="R59" s="239">
        <f t="shared" si="27"/>
        <v>31522.260000000002</v>
      </c>
      <c r="S59" s="239">
        <f t="shared" si="27"/>
        <v>16238.739999999998</v>
      </c>
      <c r="T59" s="723" t="s">
        <v>191</v>
      </c>
      <c r="U59" s="240">
        <v>41333</v>
      </c>
      <c r="V59" s="241">
        <f>IF(N59*ROUND(($A$5-K59)/30,0)/(ROUND((U59-K59)/30,0))&gt;N59,N59,N59*ROUND(($A$5-K59)/30,0)/(ROUND((U59-K59)/30,0)))</f>
        <v>47761</v>
      </c>
      <c r="W59" s="242">
        <f t="shared" si="24"/>
        <v>31522.260000000002</v>
      </c>
      <c r="X59" s="242">
        <f t="shared" si="25"/>
        <v>16238.739999999998</v>
      </c>
      <c r="Y59" s="242">
        <f t="shared" ref="Y59:Y83" si="28">R59-W59</f>
        <v>0</v>
      </c>
      <c r="Z59" s="242">
        <f t="shared" ref="Z59:Z83" si="29">S59-X59</f>
        <v>0</v>
      </c>
      <c r="AA59" s="242"/>
      <c r="AB59" s="257"/>
    </row>
    <row r="60" spans="1:28" x14ac:dyDescent="0.35">
      <c r="A60" s="283" t="s">
        <v>89</v>
      </c>
      <c r="B60" s="287" t="s">
        <v>258</v>
      </c>
      <c r="C60" s="221" t="s">
        <v>259</v>
      </c>
      <c r="D60" s="727"/>
      <c r="E60" s="42"/>
      <c r="F60" s="724"/>
      <c r="G60" s="727"/>
      <c r="H60" s="724"/>
      <c r="I60" s="736"/>
      <c r="J60" s="222">
        <v>41334</v>
      </c>
      <c r="K60" s="222">
        <v>41334</v>
      </c>
      <c r="L60" s="286">
        <v>72000000</v>
      </c>
      <c r="M60" s="223" t="s">
        <v>149</v>
      </c>
      <c r="N60" s="224">
        <v>47761</v>
      </c>
      <c r="O60" s="227"/>
      <c r="P60" s="244">
        <v>0.66</v>
      </c>
      <c r="Q60" s="244">
        <f t="shared" si="26"/>
        <v>0.33999999999999997</v>
      </c>
      <c r="R60" s="236">
        <f t="shared" si="27"/>
        <v>31522.260000000002</v>
      </c>
      <c r="S60" s="236">
        <f t="shared" si="27"/>
        <v>16238.739999999998</v>
      </c>
      <c r="T60" s="724"/>
      <c r="U60" s="222">
        <v>41698</v>
      </c>
      <c r="V60" s="224">
        <f>IF(N60*ROUND(($A$5-K60)/30,0)/(ROUND((U60-K60)/30,0))&gt;N60,N60,N60*ROUND(($A$5-K60)/30,0)/(ROUND((U60-K60)/30,0)))</f>
        <v>47761</v>
      </c>
      <c r="W60" s="245">
        <f t="shared" si="24"/>
        <v>31522.260000000002</v>
      </c>
      <c r="X60" s="245">
        <f t="shared" si="25"/>
        <v>16238.739999999998</v>
      </c>
      <c r="Y60" s="245">
        <f t="shared" si="28"/>
        <v>0</v>
      </c>
      <c r="Z60" s="245">
        <f t="shared" si="29"/>
        <v>0</v>
      </c>
      <c r="AA60" s="245"/>
      <c r="AB60" s="246" t="s">
        <v>278</v>
      </c>
    </row>
    <row r="61" spans="1:28" x14ac:dyDescent="0.35">
      <c r="A61" s="283" t="s">
        <v>89</v>
      </c>
      <c r="B61" s="287" t="s">
        <v>326</v>
      </c>
      <c r="C61" s="221" t="s">
        <v>308</v>
      </c>
      <c r="D61" s="727"/>
      <c r="E61" s="42"/>
      <c r="F61" s="724"/>
      <c r="G61" s="727"/>
      <c r="H61" s="724"/>
      <c r="I61" s="736"/>
      <c r="J61" s="222">
        <v>41699</v>
      </c>
      <c r="K61" s="222">
        <v>41699</v>
      </c>
      <c r="L61" s="224">
        <f>10*L60/(12*1500)</f>
        <v>40000</v>
      </c>
      <c r="M61" s="223" t="s">
        <v>113</v>
      </c>
      <c r="N61" s="224">
        <f t="shared" ref="N61:N66" si="30">L61</f>
        <v>40000</v>
      </c>
      <c r="O61" s="227"/>
      <c r="P61" s="244">
        <v>0.66</v>
      </c>
      <c r="Q61" s="244">
        <f t="shared" si="26"/>
        <v>0.33999999999999997</v>
      </c>
      <c r="R61" s="236">
        <f t="shared" si="27"/>
        <v>26400</v>
      </c>
      <c r="S61" s="236">
        <f t="shared" si="27"/>
        <v>13599.999999999998</v>
      </c>
      <c r="T61" s="724"/>
      <c r="U61" s="222">
        <v>42004</v>
      </c>
      <c r="V61" s="224">
        <f>IF(N61*ROUND(($A$5-K61)/30,0)/(ROUND((U61-K61)/30,0))&gt;N61,N61,N61*ROUND(($A$5-K61)/30,0)/(ROUND((U61-K61)/30,0)))</f>
        <v>40000</v>
      </c>
      <c r="W61" s="245">
        <f t="shared" si="24"/>
        <v>26400</v>
      </c>
      <c r="X61" s="245">
        <f t="shared" si="25"/>
        <v>13599.999999999998</v>
      </c>
      <c r="Y61" s="245">
        <f t="shared" si="28"/>
        <v>0</v>
      </c>
      <c r="Z61" s="245">
        <f t="shared" si="29"/>
        <v>0</v>
      </c>
      <c r="AA61" s="245"/>
      <c r="AB61" s="246" t="s">
        <v>277</v>
      </c>
    </row>
    <row r="62" spans="1:28" x14ac:dyDescent="0.35">
      <c r="A62" s="283" t="s">
        <v>89</v>
      </c>
      <c r="B62" s="299" t="s">
        <v>424</v>
      </c>
      <c r="C62" s="422" t="s">
        <v>425</v>
      </c>
      <c r="D62" s="727"/>
      <c r="E62" s="228"/>
      <c r="F62" s="724"/>
      <c r="G62" s="727"/>
      <c r="H62" s="724"/>
      <c r="I62" s="736"/>
      <c r="J62" s="289">
        <v>42006</v>
      </c>
      <c r="K62" s="289">
        <v>42005</v>
      </c>
      <c r="L62" s="249">
        <f>L61*1.05*12/10</f>
        <v>50400</v>
      </c>
      <c r="M62" s="248" t="s">
        <v>113</v>
      </c>
      <c r="N62" s="249">
        <f t="shared" si="30"/>
        <v>50400</v>
      </c>
      <c r="O62" s="277"/>
      <c r="P62" s="247">
        <v>0.66</v>
      </c>
      <c r="Q62" s="247">
        <f>1-P62</f>
        <v>0.33999999999999997</v>
      </c>
      <c r="R62" s="434">
        <f t="shared" ref="R62:S65" si="31">$N62*P62/($P62+$Q62)</f>
        <v>33264</v>
      </c>
      <c r="S62" s="434">
        <f t="shared" si="31"/>
        <v>17136</v>
      </c>
      <c r="T62" s="724"/>
      <c r="U62" s="289">
        <v>42369</v>
      </c>
      <c r="V62" s="249">
        <f>IF($A$5&lt;K62,0,IF(N62*ROUND(($A$5-K62)/30,0)/(ROUND((U62-K62)/30,0))&gt;N62,N62,N62*ROUND(($A$5-K62)/30,0)/(ROUND((U62-K62)/30,0))))</f>
        <v>50400</v>
      </c>
      <c r="W62" s="250">
        <f t="shared" si="24"/>
        <v>33264</v>
      </c>
      <c r="X62" s="250">
        <f t="shared" si="25"/>
        <v>17136</v>
      </c>
      <c r="Y62" s="250">
        <f t="shared" si="28"/>
        <v>0</v>
      </c>
      <c r="Z62" s="250">
        <f t="shared" si="29"/>
        <v>0</v>
      </c>
      <c r="AA62" s="250"/>
      <c r="AB62" s="251" t="s">
        <v>277</v>
      </c>
    </row>
    <row r="63" spans="1:28" x14ac:dyDescent="0.35">
      <c r="A63" s="283" t="s">
        <v>89</v>
      </c>
      <c r="B63" s="299" t="s">
        <v>526</v>
      </c>
      <c r="C63" s="422" t="s">
        <v>518</v>
      </c>
      <c r="D63" s="727"/>
      <c r="E63" s="228"/>
      <c r="F63" s="724"/>
      <c r="G63" s="727"/>
      <c r="H63" s="724"/>
      <c r="I63" s="736"/>
      <c r="J63" s="289">
        <v>42415</v>
      </c>
      <c r="K63" s="289">
        <v>42370</v>
      </c>
      <c r="L63" s="249">
        <v>26460</v>
      </c>
      <c r="M63" s="248" t="s">
        <v>113</v>
      </c>
      <c r="N63" s="249">
        <f t="shared" si="30"/>
        <v>26460</v>
      </c>
      <c r="O63" s="277"/>
      <c r="P63" s="247">
        <v>0.66</v>
      </c>
      <c r="Q63" s="247">
        <f>1-P63</f>
        <v>0.33999999999999997</v>
      </c>
      <c r="R63" s="434">
        <f t="shared" si="31"/>
        <v>17463.600000000002</v>
      </c>
      <c r="S63" s="434">
        <f t="shared" si="31"/>
        <v>8996.4</v>
      </c>
      <c r="T63" s="724"/>
      <c r="U63" s="289">
        <v>42551</v>
      </c>
      <c r="V63" s="249">
        <f>IF($A$5&lt;K63,0,IF(N63*ROUND(($A$5-K63)/30,0)/(ROUND((U63-K63)/30,0))&gt;N63,N63,N63*ROUND(($A$5-K63)/30,0)/(ROUND((U63-K63)/30,0))))</f>
        <v>26460</v>
      </c>
      <c r="W63" s="250">
        <f t="shared" si="24"/>
        <v>17463.600000000002</v>
      </c>
      <c r="X63" s="250">
        <f t="shared" si="25"/>
        <v>8996.4</v>
      </c>
      <c r="Y63" s="250">
        <f t="shared" si="28"/>
        <v>0</v>
      </c>
      <c r="Z63" s="250">
        <f t="shared" si="29"/>
        <v>0</v>
      </c>
      <c r="AA63" s="250"/>
      <c r="AB63" s="251" t="s">
        <v>277</v>
      </c>
    </row>
    <row r="64" spans="1:28" x14ac:dyDescent="0.35">
      <c r="A64" s="283" t="s">
        <v>89</v>
      </c>
      <c r="B64" s="299" t="s">
        <v>565</v>
      </c>
      <c r="C64" s="422" t="s">
        <v>566</v>
      </c>
      <c r="D64" s="727"/>
      <c r="E64" s="228"/>
      <c r="F64" s="724"/>
      <c r="G64" s="727"/>
      <c r="H64" s="724"/>
      <c r="I64" s="736"/>
      <c r="J64" s="289">
        <v>42556</v>
      </c>
      <c r="K64" s="289">
        <v>42552</v>
      </c>
      <c r="L64" s="249">
        <v>26460</v>
      </c>
      <c r="M64" s="248" t="s">
        <v>113</v>
      </c>
      <c r="N64" s="249">
        <f t="shared" si="30"/>
        <v>26460</v>
      </c>
      <c r="O64" s="277"/>
      <c r="P64" s="247">
        <v>0.66</v>
      </c>
      <c r="Q64" s="247">
        <f>1-P64</f>
        <v>0.33999999999999997</v>
      </c>
      <c r="R64" s="434">
        <f t="shared" si="31"/>
        <v>17463.600000000002</v>
      </c>
      <c r="S64" s="434">
        <f t="shared" si="31"/>
        <v>8996.4</v>
      </c>
      <c r="T64" s="724"/>
      <c r="U64" s="289">
        <v>42735</v>
      </c>
      <c r="V64" s="249">
        <f>IF($A$5&lt;K64,0,IF(N64*ROUND(($A$5-K64)/30,0)/(ROUND((U64-K64)/30,0))&gt;N64,N64,N64*ROUND(($A$5-K64)/30,0)/(ROUND((U64-K64)/30,0))))</f>
        <v>26460</v>
      </c>
      <c r="W64" s="250">
        <f t="shared" si="24"/>
        <v>17463.600000000002</v>
      </c>
      <c r="X64" s="250">
        <f t="shared" si="25"/>
        <v>8996.4</v>
      </c>
      <c r="Y64" s="250">
        <f t="shared" si="28"/>
        <v>0</v>
      </c>
      <c r="Z64" s="250">
        <f t="shared" si="29"/>
        <v>0</v>
      </c>
      <c r="AA64" s="250"/>
      <c r="AB64" s="251" t="s">
        <v>277</v>
      </c>
    </row>
    <row r="65" spans="1:28" x14ac:dyDescent="0.35">
      <c r="A65" s="283" t="s">
        <v>89</v>
      </c>
      <c r="B65" s="299" t="s">
        <v>598</v>
      </c>
      <c r="C65" s="422" t="s">
        <v>597</v>
      </c>
      <c r="D65" s="727"/>
      <c r="E65" s="228"/>
      <c r="F65" s="724"/>
      <c r="G65" s="727"/>
      <c r="H65" s="724"/>
      <c r="I65" s="736"/>
      <c r="J65" s="289">
        <v>42753</v>
      </c>
      <c r="K65" s="289">
        <v>42736</v>
      </c>
      <c r="L65" s="249">
        <v>52920</v>
      </c>
      <c r="M65" s="248" t="s">
        <v>113</v>
      </c>
      <c r="N65" s="249">
        <f t="shared" si="30"/>
        <v>52920</v>
      </c>
      <c r="O65" s="277"/>
      <c r="P65" s="247">
        <v>0.66</v>
      </c>
      <c r="Q65" s="247">
        <f>1-P65</f>
        <v>0.33999999999999997</v>
      </c>
      <c r="R65" s="434">
        <f t="shared" si="31"/>
        <v>34927.200000000004</v>
      </c>
      <c r="S65" s="434">
        <f t="shared" si="31"/>
        <v>17992.8</v>
      </c>
      <c r="T65" s="724"/>
      <c r="U65" s="289">
        <v>43100</v>
      </c>
      <c r="V65" s="249">
        <f>IF($A$5&lt;K65,0,IF(N65*ROUND(($A$5-K65)/30,0)/(ROUND((U65-K65)/30,0))&gt;N65,N65,N65*ROUND(($A$5-K65)/30,0)/(ROUND((U65-K65)/30,0))))</f>
        <v>52920</v>
      </c>
      <c r="W65" s="250">
        <f t="shared" si="24"/>
        <v>34927.200000000004</v>
      </c>
      <c r="X65" s="250">
        <f t="shared" si="25"/>
        <v>17992.8</v>
      </c>
      <c r="Y65" s="250">
        <f t="shared" si="28"/>
        <v>0</v>
      </c>
      <c r="Z65" s="250">
        <f t="shared" si="29"/>
        <v>0</v>
      </c>
      <c r="AA65" s="250"/>
      <c r="AB65" s="251" t="s">
        <v>277</v>
      </c>
    </row>
    <row r="66" spans="1:28" ht="13.15" thickBot="1" x14ac:dyDescent="0.4">
      <c r="A66" s="295" t="s">
        <v>87</v>
      </c>
      <c r="B66" s="296" t="s">
        <v>634</v>
      </c>
      <c r="C66" s="297" t="s">
        <v>635</v>
      </c>
      <c r="D66" s="728"/>
      <c r="E66" s="43"/>
      <c r="F66" s="725"/>
      <c r="G66" s="728"/>
      <c r="H66" s="725"/>
      <c r="I66" s="737"/>
      <c r="J66" s="262">
        <v>43129</v>
      </c>
      <c r="K66" s="262">
        <v>43101</v>
      </c>
      <c r="L66" s="255">
        <v>57600</v>
      </c>
      <c r="M66" s="389" t="s">
        <v>113</v>
      </c>
      <c r="N66" s="255">
        <f t="shared" si="30"/>
        <v>57600</v>
      </c>
      <c r="O66" s="441"/>
      <c r="P66" s="252">
        <v>0.66</v>
      </c>
      <c r="Q66" s="252">
        <f t="shared" si="26"/>
        <v>0.33999999999999997</v>
      </c>
      <c r="R66" s="253">
        <f t="shared" ref="R66:S73" si="32">$N66*P66/($P66+$Q66)</f>
        <v>38016</v>
      </c>
      <c r="S66" s="253">
        <f t="shared" si="32"/>
        <v>19584</v>
      </c>
      <c r="T66" s="725"/>
      <c r="U66" s="262">
        <v>43465</v>
      </c>
      <c r="V66" s="255">
        <f>IF($A$5&lt;K66,0,IF(N66*ROUND(($A$5-K66)/30,0)/(ROUND((U66-K66)/30,0))&gt;N66,N66,N66*ROUND(($A$5-K66)/30,0)/(ROUND((U66-K66)/30,0))))</f>
        <v>57600</v>
      </c>
      <c r="W66" s="256">
        <f t="shared" si="24"/>
        <v>38016</v>
      </c>
      <c r="X66" s="256">
        <f t="shared" si="25"/>
        <v>19584</v>
      </c>
      <c r="Y66" s="256">
        <f t="shared" si="28"/>
        <v>0</v>
      </c>
      <c r="Z66" s="256">
        <f t="shared" si="29"/>
        <v>0</v>
      </c>
      <c r="AA66" s="256"/>
      <c r="AB66" s="263" t="s">
        <v>277</v>
      </c>
    </row>
    <row r="67" spans="1:28" x14ac:dyDescent="0.35">
      <c r="A67" s="278" t="s">
        <v>89</v>
      </c>
      <c r="B67" s="279" t="s">
        <v>219</v>
      </c>
      <c r="C67" s="280" t="s">
        <v>246</v>
      </c>
      <c r="D67" s="735" t="s">
        <v>179</v>
      </c>
      <c r="E67" s="44"/>
      <c r="F67" s="723" t="s">
        <v>113</v>
      </c>
      <c r="G67" s="726" t="s">
        <v>62</v>
      </c>
      <c r="H67" s="723" t="s">
        <v>71</v>
      </c>
      <c r="I67" s="735" t="s">
        <v>304</v>
      </c>
      <c r="J67" s="240">
        <v>41030</v>
      </c>
      <c r="K67" s="240">
        <v>41030</v>
      </c>
      <c r="L67" s="281">
        <v>82000000</v>
      </c>
      <c r="M67" s="282" t="s">
        <v>149</v>
      </c>
      <c r="N67" s="241">
        <v>54394.69</v>
      </c>
      <c r="O67" s="440"/>
      <c r="P67" s="238">
        <v>0.66</v>
      </c>
      <c r="Q67" s="238">
        <f t="shared" si="26"/>
        <v>0.33999999999999997</v>
      </c>
      <c r="R67" s="239">
        <f t="shared" si="32"/>
        <v>35900.4954</v>
      </c>
      <c r="S67" s="239">
        <f t="shared" si="32"/>
        <v>18494.194599999999</v>
      </c>
      <c r="T67" s="726" t="s">
        <v>599</v>
      </c>
      <c r="U67" s="240">
        <v>41394</v>
      </c>
      <c r="V67" s="241">
        <f>IF(N67*ROUND(($A$5-K67)/30,0)/(ROUND((U67-K67)/30,0))&gt;N67,N67,N67*ROUND(($A$5-K67)/30,0)/(ROUND((U67-K67)/30,0)))</f>
        <v>54394.69</v>
      </c>
      <c r="W67" s="242">
        <f t="shared" si="24"/>
        <v>35900.4954</v>
      </c>
      <c r="X67" s="242">
        <f t="shared" si="25"/>
        <v>18494.194599999999</v>
      </c>
      <c r="Y67" s="242">
        <f t="shared" si="28"/>
        <v>0</v>
      </c>
      <c r="Z67" s="242">
        <f t="shared" si="29"/>
        <v>0</v>
      </c>
      <c r="AA67" s="242"/>
      <c r="AB67" s="257"/>
    </row>
    <row r="68" spans="1:28" x14ac:dyDescent="0.35">
      <c r="A68" s="283" t="s">
        <v>89</v>
      </c>
      <c r="B68" s="287" t="s">
        <v>260</v>
      </c>
      <c r="C68" s="221" t="s">
        <v>261</v>
      </c>
      <c r="D68" s="736"/>
      <c r="E68" s="42"/>
      <c r="F68" s="724"/>
      <c r="G68" s="727"/>
      <c r="H68" s="724"/>
      <c r="I68" s="736"/>
      <c r="J68" s="222">
        <v>41395</v>
      </c>
      <c r="K68" s="222">
        <v>41395</v>
      </c>
      <c r="L68" s="286">
        <v>82000000</v>
      </c>
      <c r="M68" s="223" t="s">
        <v>149</v>
      </c>
      <c r="N68" s="224">
        <v>54394.69</v>
      </c>
      <c r="O68" s="227"/>
      <c r="P68" s="244">
        <v>0.66</v>
      </c>
      <c r="Q68" s="244">
        <f t="shared" si="26"/>
        <v>0.33999999999999997</v>
      </c>
      <c r="R68" s="236">
        <f t="shared" si="32"/>
        <v>35900.4954</v>
      </c>
      <c r="S68" s="236">
        <f t="shared" si="32"/>
        <v>18494.194599999999</v>
      </c>
      <c r="T68" s="724"/>
      <c r="U68" s="222">
        <v>41759</v>
      </c>
      <c r="V68" s="224">
        <f>IF(N68*ROUND(($A$5-K68)/30,0)/(ROUND((U68-K68)/30,0))&gt;N68,N68,N68*ROUND(($A$5-K68)/30,0)/(ROUND((U68-K68)/30,0)))</f>
        <v>54394.69</v>
      </c>
      <c r="W68" s="245">
        <f t="shared" si="24"/>
        <v>35900.4954</v>
      </c>
      <c r="X68" s="245">
        <f t="shared" si="25"/>
        <v>18494.194599999999</v>
      </c>
      <c r="Y68" s="245">
        <f t="shared" si="28"/>
        <v>0</v>
      </c>
      <c r="Z68" s="245">
        <f t="shared" si="29"/>
        <v>0</v>
      </c>
      <c r="AA68" s="245"/>
      <c r="AB68" s="246" t="s">
        <v>278</v>
      </c>
    </row>
    <row r="69" spans="1:28" x14ac:dyDescent="0.35">
      <c r="A69" s="283" t="s">
        <v>89</v>
      </c>
      <c r="B69" s="287" t="s">
        <v>327</v>
      </c>
      <c r="C69" s="221" t="s">
        <v>328</v>
      </c>
      <c r="D69" s="736"/>
      <c r="E69" s="42"/>
      <c r="F69" s="724"/>
      <c r="G69" s="727"/>
      <c r="H69" s="724"/>
      <c r="I69" s="736"/>
      <c r="J69" s="222">
        <v>41760</v>
      </c>
      <c r="K69" s="222">
        <v>41760</v>
      </c>
      <c r="L69" s="224">
        <f>L68*8/(12*1500)</f>
        <v>36444.444444444445</v>
      </c>
      <c r="M69" s="223" t="s">
        <v>113</v>
      </c>
      <c r="N69" s="224">
        <f>36444.44</f>
        <v>36444.44</v>
      </c>
      <c r="O69" s="227"/>
      <c r="P69" s="244">
        <v>0.66</v>
      </c>
      <c r="Q69" s="244">
        <f t="shared" si="26"/>
        <v>0.33999999999999997</v>
      </c>
      <c r="R69" s="236">
        <f t="shared" si="32"/>
        <v>24053.330400000003</v>
      </c>
      <c r="S69" s="236">
        <f t="shared" si="32"/>
        <v>12391.1096</v>
      </c>
      <c r="T69" s="724"/>
      <c r="U69" s="222">
        <v>42004</v>
      </c>
      <c r="V69" s="224">
        <f>IF(N69*ROUND(($A$5-K69)/30,0)/(ROUND((U69-K69)/30,0))&gt;N69,N69,N69*ROUND(($A$5-K69)/30,0)/(ROUND((U69-K69)/30,0)))</f>
        <v>36444.44</v>
      </c>
      <c r="W69" s="245">
        <f t="shared" si="24"/>
        <v>24053.330400000003</v>
      </c>
      <c r="X69" s="245">
        <f t="shared" si="25"/>
        <v>12391.1096</v>
      </c>
      <c r="Y69" s="245">
        <f t="shared" si="28"/>
        <v>0</v>
      </c>
      <c r="Z69" s="245">
        <f t="shared" si="29"/>
        <v>0</v>
      </c>
      <c r="AA69" s="245"/>
      <c r="AB69" s="246" t="s">
        <v>277</v>
      </c>
    </row>
    <row r="70" spans="1:28" x14ac:dyDescent="0.35">
      <c r="A70" s="283" t="s">
        <v>89</v>
      </c>
      <c r="B70" s="299" t="s">
        <v>426</v>
      </c>
      <c r="C70" s="422" t="s">
        <v>427</v>
      </c>
      <c r="D70" s="736"/>
      <c r="E70" s="228"/>
      <c r="F70" s="724"/>
      <c r="G70" s="727"/>
      <c r="H70" s="724"/>
      <c r="I70" s="736"/>
      <c r="J70" s="289">
        <v>42006</v>
      </c>
      <c r="K70" s="289">
        <v>42005</v>
      </c>
      <c r="L70" s="249">
        <v>57393</v>
      </c>
      <c r="M70" s="248" t="s">
        <v>113</v>
      </c>
      <c r="N70" s="249">
        <f t="shared" ref="N70:N75" si="33">L70</f>
        <v>57393</v>
      </c>
      <c r="O70" s="277"/>
      <c r="P70" s="247">
        <v>0.66</v>
      </c>
      <c r="Q70" s="247">
        <f t="shared" ref="Q70:Q75" si="34">1-P70</f>
        <v>0.33999999999999997</v>
      </c>
      <c r="R70" s="434">
        <f t="shared" si="32"/>
        <v>37879.380000000005</v>
      </c>
      <c r="S70" s="434">
        <f t="shared" si="32"/>
        <v>19513.62</v>
      </c>
      <c r="T70" s="724"/>
      <c r="U70" s="289">
        <v>42369</v>
      </c>
      <c r="V70" s="249">
        <f t="shared" ref="V70:V75" si="35">IF($A$5&lt;K70,0,IF(N70*ROUND(($A$5-K70)/30,0)/(ROUND((U70-K70)/30,0))&gt;N70,N70,N70*ROUND(($A$5-K70)/30,0)/(ROUND((U70-K70)/30,0))))</f>
        <v>57393</v>
      </c>
      <c r="W70" s="250">
        <f t="shared" si="24"/>
        <v>37879.380000000005</v>
      </c>
      <c r="X70" s="250">
        <f t="shared" si="25"/>
        <v>19513.62</v>
      </c>
      <c r="Y70" s="250">
        <f t="shared" si="28"/>
        <v>0</v>
      </c>
      <c r="Z70" s="250">
        <f t="shared" si="29"/>
        <v>0</v>
      </c>
      <c r="AA70" s="250"/>
      <c r="AB70" s="251" t="s">
        <v>277</v>
      </c>
    </row>
    <row r="71" spans="1:28" x14ac:dyDescent="0.35">
      <c r="A71" s="283" t="s">
        <v>89</v>
      </c>
      <c r="B71" s="299" t="s">
        <v>527</v>
      </c>
      <c r="C71" s="422" t="s">
        <v>519</v>
      </c>
      <c r="D71" s="736"/>
      <c r="E71" s="228"/>
      <c r="F71" s="724"/>
      <c r="G71" s="727"/>
      <c r="H71" s="724"/>
      <c r="I71" s="736"/>
      <c r="J71" s="289">
        <v>42415</v>
      </c>
      <c r="K71" s="289">
        <v>42370</v>
      </c>
      <c r="L71" s="249">
        <v>30131</v>
      </c>
      <c r="M71" s="248" t="s">
        <v>113</v>
      </c>
      <c r="N71" s="249">
        <f t="shared" si="33"/>
        <v>30131</v>
      </c>
      <c r="O71" s="277"/>
      <c r="P71" s="247">
        <v>0.66</v>
      </c>
      <c r="Q71" s="247">
        <f t="shared" si="34"/>
        <v>0.33999999999999997</v>
      </c>
      <c r="R71" s="434">
        <f t="shared" si="32"/>
        <v>19886.46</v>
      </c>
      <c r="S71" s="434">
        <f t="shared" si="32"/>
        <v>10244.539999999999</v>
      </c>
      <c r="T71" s="724"/>
      <c r="U71" s="289">
        <v>42551</v>
      </c>
      <c r="V71" s="249">
        <f t="shared" si="35"/>
        <v>30131</v>
      </c>
      <c r="W71" s="250">
        <f t="shared" si="24"/>
        <v>19886.46</v>
      </c>
      <c r="X71" s="250">
        <f t="shared" si="25"/>
        <v>10244.539999999999</v>
      </c>
      <c r="Y71" s="250">
        <f t="shared" si="28"/>
        <v>0</v>
      </c>
      <c r="Z71" s="250">
        <f t="shared" si="29"/>
        <v>0</v>
      </c>
      <c r="AA71" s="250"/>
      <c r="AB71" s="251" t="s">
        <v>277</v>
      </c>
    </row>
    <row r="72" spans="1:28" x14ac:dyDescent="0.35">
      <c r="A72" s="283" t="s">
        <v>89</v>
      </c>
      <c r="B72" s="291" t="s">
        <v>567</v>
      </c>
      <c r="C72" s="422" t="s">
        <v>568</v>
      </c>
      <c r="D72" s="736"/>
      <c r="E72" s="228"/>
      <c r="F72" s="724"/>
      <c r="G72" s="727"/>
      <c r="H72" s="724"/>
      <c r="I72" s="736"/>
      <c r="J72" s="289">
        <v>42556</v>
      </c>
      <c r="K72" s="289">
        <v>42552</v>
      </c>
      <c r="L72" s="249">
        <v>30132</v>
      </c>
      <c r="M72" s="248" t="s">
        <v>113</v>
      </c>
      <c r="N72" s="249">
        <f t="shared" si="33"/>
        <v>30132</v>
      </c>
      <c r="O72" s="277"/>
      <c r="P72" s="247">
        <v>0.66</v>
      </c>
      <c r="Q72" s="247">
        <f t="shared" si="34"/>
        <v>0.33999999999999997</v>
      </c>
      <c r="R72" s="434">
        <f t="shared" si="32"/>
        <v>19887.120000000003</v>
      </c>
      <c r="S72" s="434">
        <f t="shared" si="32"/>
        <v>10244.879999999999</v>
      </c>
      <c r="T72" s="724"/>
      <c r="U72" s="289">
        <v>42735</v>
      </c>
      <c r="V72" s="249">
        <f t="shared" si="35"/>
        <v>30132</v>
      </c>
      <c r="W72" s="250">
        <f t="shared" si="24"/>
        <v>19887.120000000003</v>
      </c>
      <c r="X72" s="250">
        <f t="shared" si="25"/>
        <v>10244.879999999999</v>
      </c>
      <c r="Y72" s="250">
        <f t="shared" si="28"/>
        <v>0</v>
      </c>
      <c r="Z72" s="250">
        <f t="shared" si="29"/>
        <v>0</v>
      </c>
      <c r="AA72" s="250"/>
      <c r="AB72" s="251" t="s">
        <v>277</v>
      </c>
    </row>
    <row r="73" spans="1:28" x14ac:dyDescent="0.35">
      <c r="A73" s="283" t="s">
        <v>89</v>
      </c>
      <c r="B73" s="291" t="s">
        <v>600</v>
      </c>
      <c r="C73" s="422" t="s">
        <v>601</v>
      </c>
      <c r="D73" s="736"/>
      <c r="E73" s="228"/>
      <c r="F73" s="724"/>
      <c r="G73" s="727"/>
      <c r="H73" s="724"/>
      <c r="I73" s="736"/>
      <c r="J73" s="289">
        <v>42753</v>
      </c>
      <c r="K73" s="289">
        <v>42736</v>
      </c>
      <c r="L73" s="249">
        <v>66000</v>
      </c>
      <c r="M73" s="248" t="s">
        <v>113</v>
      </c>
      <c r="N73" s="249">
        <f t="shared" si="33"/>
        <v>66000</v>
      </c>
      <c r="O73" s="277"/>
      <c r="P73" s="247">
        <v>0.66</v>
      </c>
      <c r="Q73" s="247">
        <f t="shared" si="34"/>
        <v>0.33999999999999997</v>
      </c>
      <c r="R73" s="434">
        <f t="shared" si="32"/>
        <v>43560</v>
      </c>
      <c r="S73" s="434">
        <f t="shared" si="32"/>
        <v>22439.999999999996</v>
      </c>
      <c r="T73" s="724"/>
      <c r="U73" s="289">
        <v>43100</v>
      </c>
      <c r="V73" s="249">
        <f t="shared" si="35"/>
        <v>66000</v>
      </c>
      <c r="W73" s="250">
        <f t="shared" si="24"/>
        <v>43560</v>
      </c>
      <c r="X73" s="250">
        <f t="shared" si="25"/>
        <v>22439.999999999996</v>
      </c>
      <c r="Y73" s="250">
        <f t="shared" si="28"/>
        <v>0</v>
      </c>
      <c r="Z73" s="250">
        <f t="shared" si="29"/>
        <v>0</v>
      </c>
      <c r="AA73" s="250"/>
      <c r="AB73" s="251" t="s">
        <v>277</v>
      </c>
    </row>
    <row r="74" spans="1:28" x14ac:dyDescent="0.35">
      <c r="A74" s="283" t="s">
        <v>89</v>
      </c>
      <c r="B74" s="291" t="s">
        <v>636</v>
      </c>
      <c r="C74" s="422" t="s">
        <v>637</v>
      </c>
      <c r="D74" s="736"/>
      <c r="E74" s="228"/>
      <c r="F74" s="724"/>
      <c r="G74" s="727"/>
      <c r="H74" s="724"/>
      <c r="I74" s="736"/>
      <c r="J74" s="289">
        <v>43129</v>
      </c>
      <c r="K74" s="289">
        <v>43101</v>
      </c>
      <c r="L74" s="249">
        <v>74693</v>
      </c>
      <c r="M74" s="248" t="s">
        <v>113</v>
      </c>
      <c r="N74" s="249">
        <f t="shared" si="33"/>
        <v>74693</v>
      </c>
      <c r="O74" s="277"/>
      <c r="P74" s="247">
        <v>0.66</v>
      </c>
      <c r="Q74" s="247">
        <f t="shared" si="34"/>
        <v>0.33999999999999997</v>
      </c>
      <c r="R74" s="434">
        <f>$N74*P74/(P74+Q74*1.11)</f>
        <v>47520.127241179871</v>
      </c>
      <c r="S74" s="434">
        <f>$N74*Q74*1.11/(P74+Q74*1.11)</f>
        <v>27172.872758820125</v>
      </c>
      <c r="T74" s="724"/>
      <c r="U74" s="289">
        <v>43465</v>
      </c>
      <c r="V74" s="249">
        <f t="shared" si="35"/>
        <v>74693</v>
      </c>
      <c r="W74" s="250">
        <f>V74*P74/(P74+Q74*1.11)</f>
        <v>47520.127241179871</v>
      </c>
      <c r="X74" s="250">
        <f>Q74*V74*1.11/(P74+Q74*1.11)</f>
        <v>27172.872758820125</v>
      </c>
      <c r="Y74" s="250">
        <f t="shared" si="28"/>
        <v>0</v>
      </c>
      <c r="Z74" s="250">
        <f t="shared" si="29"/>
        <v>0</v>
      </c>
      <c r="AA74" s="250"/>
      <c r="AB74" s="251" t="s">
        <v>277</v>
      </c>
    </row>
    <row r="75" spans="1:28" ht="13.15" thickBot="1" x14ac:dyDescent="0.4">
      <c r="A75" s="295" t="s">
        <v>87</v>
      </c>
      <c r="B75" s="296" t="s">
        <v>692</v>
      </c>
      <c r="C75" s="297" t="s">
        <v>693</v>
      </c>
      <c r="D75" s="737"/>
      <c r="E75" s="43"/>
      <c r="F75" s="725"/>
      <c r="G75" s="728"/>
      <c r="H75" s="725"/>
      <c r="I75" s="737"/>
      <c r="J75" s="262">
        <v>43482</v>
      </c>
      <c r="K75" s="262">
        <v>43466</v>
      </c>
      <c r="L75" s="255">
        <v>74693</v>
      </c>
      <c r="M75" s="389" t="s">
        <v>113</v>
      </c>
      <c r="N75" s="255">
        <f t="shared" si="33"/>
        <v>74693</v>
      </c>
      <c r="O75" s="441"/>
      <c r="P75" s="252">
        <v>0.66</v>
      </c>
      <c r="Q75" s="252">
        <f t="shared" si="34"/>
        <v>0.33999999999999997</v>
      </c>
      <c r="R75" s="253">
        <f>$N75*P75/(P75+Q75*1.11)</f>
        <v>47520.127241179871</v>
      </c>
      <c r="S75" s="253">
        <f>$N75*Q75*1.11/(P75+Q75*1.11)</f>
        <v>27172.872758820125</v>
      </c>
      <c r="T75" s="725"/>
      <c r="U75" s="262">
        <v>43830</v>
      </c>
      <c r="V75" s="255">
        <f t="shared" si="35"/>
        <v>12448.833333333334</v>
      </c>
      <c r="W75" s="256">
        <f>V75*P75/(P75+Q75*1.11)</f>
        <v>7920.0212068633127</v>
      </c>
      <c r="X75" s="256">
        <f>Q75*V75*1.11/(P75+Q75*1.11)</f>
        <v>4528.8121264700212</v>
      </c>
      <c r="Y75" s="256">
        <f t="shared" si="28"/>
        <v>39600.106034316559</v>
      </c>
      <c r="Z75" s="256">
        <f t="shared" si="29"/>
        <v>22644.060632350105</v>
      </c>
      <c r="AA75" s="256"/>
      <c r="AB75" s="263" t="s">
        <v>277</v>
      </c>
    </row>
    <row r="76" spans="1:28" x14ac:dyDescent="0.35">
      <c r="A76" s="278" t="s">
        <v>89</v>
      </c>
      <c r="B76" s="279" t="s">
        <v>220</v>
      </c>
      <c r="C76" s="280" t="s">
        <v>247</v>
      </c>
      <c r="D76" s="735" t="s">
        <v>180</v>
      </c>
      <c r="E76" s="44"/>
      <c r="F76" s="723" t="s">
        <v>113</v>
      </c>
      <c r="G76" s="726" t="s">
        <v>62</v>
      </c>
      <c r="H76" s="723" t="s">
        <v>71</v>
      </c>
      <c r="I76" s="735" t="s">
        <v>304</v>
      </c>
      <c r="J76" s="240">
        <v>41030</v>
      </c>
      <c r="K76" s="240">
        <v>41030</v>
      </c>
      <c r="L76" s="281">
        <v>72000000</v>
      </c>
      <c r="M76" s="282" t="s">
        <v>149</v>
      </c>
      <c r="N76" s="241">
        <v>47761.19</v>
      </c>
      <c r="O76" s="440"/>
      <c r="P76" s="238">
        <v>0.66</v>
      </c>
      <c r="Q76" s="238">
        <f t="shared" si="26"/>
        <v>0.33999999999999997</v>
      </c>
      <c r="R76" s="239">
        <f t="shared" ref="R76:S78" si="36">$N76*P76/($P76+$Q76)</f>
        <v>31522.385400000003</v>
      </c>
      <c r="S76" s="239">
        <f t="shared" si="36"/>
        <v>16238.804599999999</v>
      </c>
      <c r="T76" s="723" t="s">
        <v>192</v>
      </c>
      <c r="U76" s="240">
        <v>41394</v>
      </c>
      <c r="V76" s="241">
        <f>IF(N76*ROUND(($A$5-K76)/30,0)/(ROUND((U76-K76)/30,0))&gt;N76,N76,N76*ROUND(($A$5-K76)/30,0)/(ROUND((U76-K76)/30,0)))</f>
        <v>47761.19</v>
      </c>
      <c r="W76" s="242">
        <f t="shared" ref="W76:W82" si="37">V76*P76</f>
        <v>31522.385400000003</v>
      </c>
      <c r="X76" s="242">
        <f t="shared" ref="X76:X82" si="38">Q76*V76</f>
        <v>16238.804599999999</v>
      </c>
      <c r="Y76" s="242">
        <f t="shared" si="28"/>
        <v>0</v>
      </c>
      <c r="Z76" s="242">
        <f t="shared" si="29"/>
        <v>0</v>
      </c>
      <c r="AA76" s="242"/>
      <c r="AB76" s="257"/>
    </row>
    <row r="77" spans="1:28" x14ac:dyDescent="0.35">
      <c r="A77" s="283" t="s">
        <v>89</v>
      </c>
      <c r="B77" s="287" t="s">
        <v>262</v>
      </c>
      <c r="C77" s="221" t="s">
        <v>263</v>
      </c>
      <c r="D77" s="736"/>
      <c r="E77" s="42"/>
      <c r="F77" s="724"/>
      <c r="G77" s="727"/>
      <c r="H77" s="724"/>
      <c r="I77" s="736"/>
      <c r="J77" s="222">
        <v>41395</v>
      </c>
      <c r="K77" s="222">
        <v>41395</v>
      </c>
      <c r="L77" s="286">
        <v>72000000</v>
      </c>
      <c r="M77" s="223" t="s">
        <v>149</v>
      </c>
      <c r="N77" s="224">
        <v>47761.19</v>
      </c>
      <c r="O77" s="227"/>
      <c r="P77" s="244">
        <v>0.66</v>
      </c>
      <c r="Q77" s="244">
        <f t="shared" si="26"/>
        <v>0.33999999999999997</v>
      </c>
      <c r="R77" s="236">
        <f t="shared" si="36"/>
        <v>31522.385400000003</v>
      </c>
      <c r="S77" s="236">
        <f t="shared" si="36"/>
        <v>16238.804599999999</v>
      </c>
      <c r="T77" s="724"/>
      <c r="U77" s="222">
        <v>41759</v>
      </c>
      <c r="V77" s="224">
        <f>IF(N77*ROUND(($A$5-K77)/30,0)/(ROUND((U77-K77)/30,0))&gt;N77,N77,N77*ROUND(($A$5-K77)/30,0)/(ROUND((U77-K77)/30,0)))</f>
        <v>47761.19</v>
      </c>
      <c r="W77" s="245">
        <f t="shared" si="37"/>
        <v>31522.385400000003</v>
      </c>
      <c r="X77" s="245">
        <f t="shared" si="38"/>
        <v>16238.804599999999</v>
      </c>
      <c r="Y77" s="245">
        <f t="shared" si="28"/>
        <v>0</v>
      </c>
      <c r="Z77" s="245">
        <f t="shared" si="29"/>
        <v>0</v>
      </c>
      <c r="AA77" s="245"/>
      <c r="AB77" s="246" t="s">
        <v>278</v>
      </c>
    </row>
    <row r="78" spans="1:28" x14ac:dyDescent="0.35">
      <c r="A78" s="283" t="s">
        <v>89</v>
      </c>
      <c r="B78" s="287" t="s">
        <v>329</v>
      </c>
      <c r="C78" s="221" t="s">
        <v>330</v>
      </c>
      <c r="D78" s="736"/>
      <c r="E78" s="42"/>
      <c r="F78" s="724"/>
      <c r="G78" s="727"/>
      <c r="H78" s="724"/>
      <c r="I78" s="736"/>
      <c r="J78" s="222">
        <v>41760</v>
      </c>
      <c r="K78" s="222">
        <v>41760</v>
      </c>
      <c r="L78" s="224">
        <f>L77*8/(1500*12)</f>
        <v>32000</v>
      </c>
      <c r="M78" s="223" t="s">
        <v>113</v>
      </c>
      <c r="N78" s="224">
        <v>32000</v>
      </c>
      <c r="O78" s="227"/>
      <c r="P78" s="244">
        <v>0.66</v>
      </c>
      <c r="Q78" s="244">
        <f t="shared" si="26"/>
        <v>0.33999999999999997</v>
      </c>
      <c r="R78" s="236">
        <f t="shared" si="36"/>
        <v>21120</v>
      </c>
      <c r="S78" s="236">
        <f t="shared" si="36"/>
        <v>10879.999999999998</v>
      </c>
      <c r="T78" s="724"/>
      <c r="U78" s="222">
        <v>42004</v>
      </c>
      <c r="V78" s="224">
        <f>IF(N78*ROUND(($A$5-K78)/30,0)/(ROUND((U78-K78)/30,0))&gt;N78,N78,N78*ROUND(($A$5-K78)/30,0)/(ROUND((U78-K78)/30,0)))</f>
        <v>32000</v>
      </c>
      <c r="W78" s="245">
        <f t="shared" si="37"/>
        <v>21120</v>
      </c>
      <c r="X78" s="245">
        <f t="shared" si="38"/>
        <v>10879.999999999998</v>
      </c>
      <c r="Y78" s="245">
        <f t="shared" si="28"/>
        <v>0</v>
      </c>
      <c r="Z78" s="245">
        <f t="shared" si="29"/>
        <v>0</v>
      </c>
      <c r="AA78" s="245"/>
      <c r="AB78" s="246" t="s">
        <v>277</v>
      </c>
    </row>
    <row r="79" spans="1:28" x14ac:dyDescent="0.35">
      <c r="A79" s="283" t="s">
        <v>89</v>
      </c>
      <c r="B79" s="299" t="s">
        <v>428</v>
      </c>
      <c r="C79" s="422" t="s">
        <v>429</v>
      </c>
      <c r="D79" s="736"/>
      <c r="E79" s="228"/>
      <c r="F79" s="724"/>
      <c r="G79" s="727"/>
      <c r="H79" s="724"/>
      <c r="I79" s="736"/>
      <c r="J79" s="289">
        <v>42006</v>
      </c>
      <c r="K79" s="289">
        <v>42005</v>
      </c>
      <c r="L79" s="249">
        <f>L78*1.05*12/8</f>
        <v>50400</v>
      </c>
      <c r="M79" s="248" t="s">
        <v>113</v>
      </c>
      <c r="N79" s="249">
        <f>L79</f>
        <v>50400</v>
      </c>
      <c r="O79" s="277"/>
      <c r="P79" s="247">
        <v>0.66</v>
      </c>
      <c r="Q79" s="247">
        <f>1-P79</f>
        <v>0.33999999999999997</v>
      </c>
      <c r="R79" s="434">
        <f t="shared" ref="R79:S82" si="39">$N79*P79/($P79+$Q79)</f>
        <v>33264</v>
      </c>
      <c r="S79" s="434">
        <f t="shared" si="39"/>
        <v>17136</v>
      </c>
      <c r="T79" s="724"/>
      <c r="U79" s="289">
        <v>42369</v>
      </c>
      <c r="V79" s="249">
        <f>IF($A$5&lt;K79,0,IF(N79*ROUND(($A$5-K79)/30,0)/(ROUND((U79-K79)/30,0))&gt;N79,N79,N79*ROUND(($A$5-K79)/30,0)/(ROUND((U79-K79)/30,0))))</f>
        <v>50400</v>
      </c>
      <c r="W79" s="250">
        <f t="shared" si="37"/>
        <v>33264</v>
      </c>
      <c r="X79" s="250">
        <f t="shared" si="38"/>
        <v>17136</v>
      </c>
      <c r="Y79" s="250">
        <f t="shared" si="28"/>
        <v>0</v>
      </c>
      <c r="Z79" s="250">
        <f t="shared" si="29"/>
        <v>0</v>
      </c>
      <c r="AA79" s="250"/>
      <c r="AB79" s="251" t="s">
        <v>277</v>
      </c>
    </row>
    <row r="80" spans="1:28" x14ac:dyDescent="0.35">
      <c r="A80" s="283" t="s">
        <v>89</v>
      </c>
      <c r="B80" s="299" t="s">
        <v>528</v>
      </c>
      <c r="C80" s="422" t="s">
        <v>520</v>
      </c>
      <c r="D80" s="736"/>
      <c r="E80" s="228"/>
      <c r="F80" s="724"/>
      <c r="G80" s="727"/>
      <c r="H80" s="724"/>
      <c r="I80" s="736"/>
      <c r="J80" s="289">
        <v>42415</v>
      </c>
      <c r="K80" s="289">
        <v>42370</v>
      </c>
      <c r="L80" s="249">
        <v>26460</v>
      </c>
      <c r="M80" s="248" t="s">
        <v>113</v>
      </c>
      <c r="N80" s="249">
        <f>L80</f>
        <v>26460</v>
      </c>
      <c r="O80" s="277"/>
      <c r="P80" s="247">
        <v>0.66</v>
      </c>
      <c r="Q80" s="247">
        <f>1-P80</f>
        <v>0.33999999999999997</v>
      </c>
      <c r="R80" s="434">
        <f t="shared" si="39"/>
        <v>17463.600000000002</v>
      </c>
      <c r="S80" s="434">
        <f t="shared" si="39"/>
        <v>8996.4</v>
      </c>
      <c r="T80" s="724"/>
      <c r="U80" s="289">
        <v>42551</v>
      </c>
      <c r="V80" s="249">
        <f>IF($A$5&lt;K80,0,IF(N80*ROUND(($A$5-K80)/30,0)/(ROUND((U80-K80)/30,0))&gt;N80,N80,N80*ROUND(($A$5-K80)/30,0)/(ROUND((U80-K80)/30,0))))</f>
        <v>26460</v>
      </c>
      <c r="W80" s="250">
        <f t="shared" si="37"/>
        <v>17463.600000000002</v>
      </c>
      <c r="X80" s="250">
        <f t="shared" si="38"/>
        <v>8996.4</v>
      </c>
      <c r="Y80" s="250">
        <f t="shared" si="28"/>
        <v>0</v>
      </c>
      <c r="Z80" s="250">
        <f t="shared" si="29"/>
        <v>0</v>
      </c>
      <c r="AA80" s="250"/>
      <c r="AB80" s="251" t="s">
        <v>277</v>
      </c>
    </row>
    <row r="81" spans="1:28" x14ac:dyDescent="0.35">
      <c r="A81" s="283" t="s">
        <v>89</v>
      </c>
      <c r="B81" s="299" t="s">
        <v>569</v>
      </c>
      <c r="C81" s="422" t="s">
        <v>570</v>
      </c>
      <c r="D81" s="736"/>
      <c r="E81" s="228"/>
      <c r="F81" s="724"/>
      <c r="G81" s="727"/>
      <c r="H81" s="724"/>
      <c r="I81" s="736"/>
      <c r="J81" s="289">
        <v>42556</v>
      </c>
      <c r="K81" s="289">
        <v>42552</v>
      </c>
      <c r="L81" s="249">
        <v>26460</v>
      </c>
      <c r="M81" s="248" t="s">
        <v>113</v>
      </c>
      <c r="N81" s="249">
        <f>L81</f>
        <v>26460</v>
      </c>
      <c r="O81" s="277"/>
      <c r="P81" s="247">
        <v>0.66</v>
      </c>
      <c r="Q81" s="247">
        <f>1-P81</f>
        <v>0.33999999999999997</v>
      </c>
      <c r="R81" s="434">
        <f t="shared" si="39"/>
        <v>17463.600000000002</v>
      </c>
      <c r="S81" s="434">
        <f t="shared" si="39"/>
        <v>8996.4</v>
      </c>
      <c r="T81" s="724"/>
      <c r="U81" s="289">
        <v>42735</v>
      </c>
      <c r="V81" s="249">
        <f>IF($A$5&lt;K81,0,IF(N81*ROUND(($A$5-K81)/30,0)/(ROUND((U81-K81)/30,0))&gt;N81,N81,N81*ROUND(($A$5-K81)/30,0)/(ROUND((U81-K81)/30,0))))</f>
        <v>26460</v>
      </c>
      <c r="W81" s="250">
        <f t="shared" si="37"/>
        <v>17463.600000000002</v>
      </c>
      <c r="X81" s="250">
        <f t="shared" si="38"/>
        <v>8996.4</v>
      </c>
      <c r="Y81" s="250">
        <f t="shared" si="28"/>
        <v>0</v>
      </c>
      <c r="Z81" s="250">
        <f t="shared" si="29"/>
        <v>0</v>
      </c>
      <c r="AA81" s="250"/>
      <c r="AB81" s="251" t="s">
        <v>277</v>
      </c>
    </row>
    <row r="82" spans="1:28" x14ac:dyDescent="0.35">
      <c r="A82" s="283" t="s">
        <v>89</v>
      </c>
      <c r="B82" s="299" t="s">
        <v>603</v>
      </c>
      <c r="C82" s="422" t="s">
        <v>602</v>
      </c>
      <c r="D82" s="736"/>
      <c r="E82" s="228"/>
      <c r="F82" s="724"/>
      <c r="G82" s="727"/>
      <c r="H82" s="724"/>
      <c r="I82" s="736"/>
      <c r="J82" s="289">
        <v>42753</v>
      </c>
      <c r="K82" s="289">
        <v>42736</v>
      </c>
      <c r="L82" s="249">
        <v>52920</v>
      </c>
      <c r="M82" s="248" t="s">
        <v>113</v>
      </c>
      <c r="N82" s="249">
        <f>L82</f>
        <v>52920</v>
      </c>
      <c r="O82" s="277"/>
      <c r="P82" s="247">
        <v>0.66</v>
      </c>
      <c r="Q82" s="247">
        <f>1-P82</f>
        <v>0.33999999999999997</v>
      </c>
      <c r="R82" s="434">
        <f t="shared" si="39"/>
        <v>34927.200000000004</v>
      </c>
      <c r="S82" s="434">
        <f t="shared" si="39"/>
        <v>17992.8</v>
      </c>
      <c r="T82" s="724"/>
      <c r="U82" s="289">
        <v>43100</v>
      </c>
      <c r="V82" s="249">
        <f>IF($A$5&lt;K82,0,IF(N82*ROUND(($A$5-K82)/30,0)/(ROUND((U82-K82)/30,0))&gt;N82,N82,N82*ROUND(($A$5-K82)/30,0)/(ROUND((U82-K82)/30,0))))</f>
        <v>52920</v>
      </c>
      <c r="W82" s="250">
        <f t="shared" si="37"/>
        <v>34927.200000000004</v>
      </c>
      <c r="X82" s="250">
        <f t="shared" si="38"/>
        <v>17992.8</v>
      </c>
      <c r="Y82" s="250">
        <f t="shared" si="28"/>
        <v>0</v>
      </c>
      <c r="Z82" s="250">
        <f t="shared" si="29"/>
        <v>0</v>
      </c>
      <c r="AA82" s="250"/>
      <c r="AB82" s="251" t="s">
        <v>277</v>
      </c>
    </row>
    <row r="83" spans="1:28" ht="13.15" thickBot="1" x14ac:dyDescent="0.4">
      <c r="A83" s="295" t="s">
        <v>87</v>
      </c>
      <c r="B83" s="296" t="s">
        <v>638</v>
      </c>
      <c r="C83" s="297" t="s">
        <v>639</v>
      </c>
      <c r="D83" s="737"/>
      <c r="E83" s="43"/>
      <c r="F83" s="725"/>
      <c r="G83" s="728"/>
      <c r="H83" s="725"/>
      <c r="I83" s="737"/>
      <c r="J83" s="262">
        <v>43129</v>
      </c>
      <c r="K83" s="262">
        <v>43101</v>
      </c>
      <c r="L83" s="255">
        <v>74692.800000000003</v>
      </c>
      <c r="M83" s="254" t="s">
        <v>113</v>
      </c>
      <c r="N83" s="255">
        <f>L83</f>
        <v>74692.800000000003</v>
      </c>
      <c r="O83" s="441"/>
      <c r="P83" s="252">
        <v>0.66</v>
      </c>
      <c r="Q83" s="252">
        <f t="shared" si="26"/>
        <v>0.33999999999999997</v>
      </c>
      <c r="R83" s="253">
        <f>$N83*P83/(P83+Q83*1.11)</f>
        <v>47520</v>
      </c>
      <c r="S83" s="253">
        <f>$N83*Q83*1.11/(P83+Q83*1.11)</f>
        <v>27172.799999999999</v>
      </c>
      <c r="T83" s="725"/>
      <c r="U83" s="262">
        <v>43465</v>
      </c>
      <c r="V83" s="255">
        <f>IF($A$5&lt;K83,0,IF(N83*ROUND(($A$5-K83)/30,0)/(ROUND((U83-K83)/30,0))&gt;N83,N83,N83*ROUND(($A$5-K83)/30,0)/(ROUND((U83-K83)/30,0))))</f>
        <v>74692.800000000003</v>
      </c>
      <c r="W83" s="256">
        <f>V83*P83/(P83+Q83*1.11)</f>
        <v>47520</v>
      </c>
      <c r="X83" s="256">
        <f>Q83*V83*1.11/(P83+Q83*1.11)</f>
        <v>27172.799999999999</v>
      </c>
      <c r="Y83" s="256">
        <f t="shared" si="28"/>
        <v>0</v>
      </c>
      <c r="Z83" s="256">
        <f t="shared" si="29"/>
        <v>0</v>
      </c>
      <c r="AA83" s="256"/>
      <c r="AB83" s="263" t="s">
        <v>277</v>
      </c>
    </row>
    <row r="84" spans="1:28" ht="13.15" thickBot="1" x14ac:dyDescent="0.4">
      <c r="A84" s="300" t="s">
        <v>89</v>
      </c>
      <c r="B84" s="301" t="s">
        <v>221</v>
      </c>
      <c r="C84" s="302" t="s">
        <v>248</v>
      </c>
      <c r="D84" s="303" t="s">
        <v>175</v>
      </c>
      <c r="E84" s="304"/>
      <c r="F84" s="305" t="s">
        <v>113</v>
      </c>
      <c r="G84" s="325" t="s">
        <v>62</v>
      </c>
      <c r="H84" s="305" t="s">
        <v>71</v>
      </c>
      <c r="I84" s="303" t="s">
        <v>304</v>
      </c>
      <c r="J84" s="306">
        <v>40536</v>
      </c>
      <c r="K84" s="306">
        <v>40536</v>
      </c>
      <c r="L84" s="307">
        <v>54000000</v>
      </c>
      <c r="M84" s="308" t="s">
        <v>149</v>
      </c>
      <c r="N84" s="309">
        <v>35820.895522388062</v>
      </c>
      <c r="O84" s="305"/>
      <c r="P84" s="310">
        <v>0.66</v>
      </c>
      <c r="Q84" s="310">
        <f t="shared" si="26"/>
        <v>0.33999999999999997</v>
      </c>
      <c r="R84" s="311">
        <f t="shared" ref="R84:S87" si="40">$N84*P84/($P84+$Q84)</f>
        <v>23641.791044776121</v>
      </c>
      <c r="S84" s="311">
        <f t="shared" si="40"/>
        <v>12179.10447761194</v>
      </c>
      <c r="T84" s="305" t="s">
        <v>193</v>
      </c>
      <c r="U84" s="306">
        <v>40676</v>
      </c>
      <c r="V84" s="309">
        <v>13764.51</v>
      </c>
      <c r="W84" s="312">
        <f t="shared" ref="W84:W119" si="41">V84*P84</f>
        <v>9084.5766000000003</v>
      </c>
      <c r="X84" s="312">
        <f t="shared" ref="X84:X119" si="42">Q84*V84</f>
        <v>4679.9333999999999</v>
      </c>
      <c r="Y84" s="312"/>
      <c r="Z84" s="312"/>
      <c r="AA84" s="312"/>
      <c r="AB84" s="313"/>
    </row>
    <row r="85" spans="1:28" x14ac:dyDescent="0.35">
      <c r="A85" s="278" t="s">
        <v>89</v>
      </c>
      <c r="B85" s="279" t="s">
        <v>222</v>
      </c>
      <c r="C85" s="280" t="s">
        <v>249</v>
      </c>
      <c r="D85" s="735" t="s">
        <v>181</v>
      </c>
      <c r="E85" s="44"/>
      <c r="F85" s="723" t="s">
        <v>113</v>
      </c>
      <c r="G85" s="726" t="s">
        <v>62</v>
      </c>
      <c r="H85" s="723" t="s">
        <v>71</v>
      </c>
      <c r="I85" s="735" t="s">
        <v>304</v>
      </c>
      <c r="J85" s="240">
        <v>41061</v>
      </c>
      <c r="K85" s="240">
        <v>41061</v>
      </c>
      <c r="L85" s="281">
        <v>63000000</v>
      </c>
      <c r="M85" s="282" t="s">
        <v>149</v>
      </c>
      <c r="N85" s="241">
        <v>41791</v>
      </c>
      <c r="O85" s="440"/>
      <c r="P85" s="238">
        <v>0.66</v>
      </c>
      <c r="Q85" s="238">
        <f t="shared" si="26"/>
        <v>0.33999999999999997</v>
      </c>
      <c r="R85" s="239">
        <f t="shared" si="40"/>
        <v>27582.06</v>
      </c>
      <c r="S85" s="239">
        <f t="shared" si="40"/>
        <v>14208.939999999999</v>
      </c>
      <c r="T85" s="723" t="s">
        <v>194</v>
      </c>
      <c r="U85" s="240">
        <v>41425</v>
      </c>
      <c r="V85" s="241">
        <f>IF(N85*ROUND(($A$5-K85)/30,0)/(ROUND((U85-K85)/30,0))&gt;N85,N85,N85*ROUND(($A$5-K85)/30,0)/(ROUND((U85-K85)/30,0)))</f>
        <v>41791</v>
      </c>
      <c r="W85" s="242">
        <f t="shared" si="41"/>
        <v>27582.06</v>
      </c>
      <c r="X85" s="242">
        <f t="shared" si="42"/>
        <v>14208.939999999999</v>
      </c>
      <c r="Y85" s="242">
        <f t="shared" ref="Y85:Y107" si="43">R85-W85</f>
        <v>0</v>
      </c>
      <c r="Z85" s="242">
        <f t="shared" ref="Z85:Z107" si="44">S85-X85</f>
        <v>0</v>
      </c>
      <c r="AA85" s="242"/>
      <c r="AB85" s="257"/>
    </row>
    <row r="86" spans="1:28" x14ac:dyDescent="0.35">
      <c r="A86" s="283" t="s">
        <v>89</v>
      </c>
      <c r="B86" s="287" t="s">
        <v>264</v>
      </c>
      <c r="C86" s="221" t="s">
        <v>265</v>
      </c>
      <c r="D86" s="736"/>
      <c r="E86" s="42"/>
      <c r="F86" s="724"/>
      <c r="G86" s="727"/>
      <c r="H86" s="724"/>
      <c r="I86" s="736"/>
      <c r="J86" s="222">
        <v>41426</v>
      </c>
      <c r="K86" s="222">
        <v>41426</v>
      </c>
      <c r="L86" s="286">
        <v>63000000</v>
      </c>
      <c r="M86" s="223" t="s">
        <v>149</v>
      </c>
      <c r="N86" s="224">
        <v>41791</v>
      </c>
      <c r="O86" s="227"/>
      <c r="P86" s="244">
        <v>0.66</v>
      </c>
      <c r="Q86" s="244">
        <f t="shared" si="26"/>
        <v>0.33999999999999997</v>
      </c>
      <c r="R86" s="236">
        <f t="shared" si="40"/>
        <v>27582.06</v>
      </c>
      <c r="S86" s="236">
        <f t="shared" si="40"/>
        <v>14208.939999999999</v>
      </c>
      <c r="T86" s="724"/>
      <c r="U86" s="222">
        <v>41790</v>
      </c>
      <c r="V86" s="224">
        <f>IF(N86*ROUND(($A$5-K86)/30,0)/(ROUND((U86-K86)/30,0))&gt;N86,N86,N86*ROUND(($A$5-K86)/30,0)/(ROUND((U86-K86)/30,0)))</f>
        <v>41791</v>
      </c>
      <c r="W86" s="245">
        <f t="shared" si="41"/>
        <v>27582.06</v>
      </c>
      <c r="X86" s="245">
        <f t="shared" si="42"/>
        <v>14208.939999999999</v>
      </c>
      <c r="Y86" s="245">
        <f t="shared" si="43"/>
        <v>0</v>
      </c>
      <c r="Z86" s="245">
        <f t="shared" si="44"/>
        <v>0</v>
      </c>
      <c r="AA86" s="245"/>
      <c r="AB86" s="246" t="s">
        <v>278</v>
      </c>
    </row>
    <row r="87" spans="1:28" x14ac:dyDescent="0.35">
      <c r="A87" s="283" t="s">
        <v>89</v>
      </c>
      <c r="B87" s="287" t="s">
        <v>331</v>
      </c>
      <c r="C87" s="221" t="s">
        <v>332</v>
      </c>
      <c r="D87" s="736"/>
      <c r="E87" s="42"/>
      <c r="F87" s="724"/>
      <c r="G87" s="727"/>
      <c r="H87" s="724"/>
      <c r="I87" s="736"/>
      <c r="J87" s="222">
        <v>41791</v>
      </c>
      <c r="K87" s="222">
        <v>41791</v>
      </c>
      <c r="L87" s="224">
        <f>2500*7</f>
        <v>17500</v>
      </c>
      <c r="M87" s="223" t="s">
        <v>113</v>
      </c>
      <c r="N87" s="224">
        <v>17500</v>
      </c>
      <c r="O87" s="227"/>
      <c r="P87" s="244">
        <v>0.66</v>
      </c>
      <c r="Q87" s="244">
        <f t="shared" si="26"/>
        <v>0.33999999999999997</v>
      </c>
      <c r="R87" s="236">
        <f t="shared" si="40"/>
        <v>11550</v>
      </c>
      <c r="S87" s="236">
        <f t="shared" si="40"/>
        <v>5949.9999999999991</v>
      </c>
      <c r="T87" s="724"/>
      <c r="U87" s="222">
        <v>42004</v>
      </c>
      <c r="V87" s="224">
        <f>IF(N87*ROUND(($A$5-K87)/30,0)/(ROUND((U87-K87)/30,0))&gt;N87,N87,N87*ROUND(($A$5-K87)/30,0)/(ROUND((U87-K87)/30,0)))</f>
        <v>17500</v>
      </c>
      <c r="W87" s="245">
        <f t="shared" si="41"/>
        <v>11550</v>
      </c>
      <c r="X87" s="245">
        <f t="shared" si="42"/>
        <v>5949.9999999999991</v>
      </c>
      <c r="Y87" s="245">
        <f t="shared" si="43"/>
        <v>0</v>
      </c>
      <c r="Z87" s="245">
        <f t="shared" si="44"/>
        <v>0</v>
      </c>
      <c r="AA87" s="245"/>
      <c r="AB87" s="246" t="s">
        <v>277</v>
      </c>
    </row>
    <row r="88" spans="1:28" x14ac:dyDescent="0.35">
      <c r="A88" s="283" t="s">
        <v>89</v>
      </c>
      <c r="B88" s="299" t="s">
        <v>430</v>
      </c>
      <c r="C88" s="422" t="s">
        <v>431</v>
      </c>
      <c r="D88" s="736"/>
      <c r="E88" s="228"/>
      <c r="F88" s="724"/>
      <c r="G88" s="727"/>
      <c r="H88" s="724"/>
      <c r="I88" s="736"/>
      <c r="J88" s="289">
        <v>42006</v>
      </c>
      <c r="K88" s="289">
        <v>42005</v>
      </c>
      <c r="L88" s="249">
        <f>L87*1.05*12/7</f>
        <v>31500</v>
      </c>
      <c r="M88" s="248" t="s">
        <v>113</v>
      </c>
      <c r="N88" s="249">
        <f t="shared" ref="N88:N93" si="45">L88</f>
        <v>31500</v>
      </c>
      <c r="O88" s="277"/>
      <c r="P88" s="247">
        <v>0.66</v>
      </c>
      <c r="Q88" s="247">
        <f t="shared" ref="Q88:Q93" si="46">1-P88</f>
        <v>0.33999999999999997</v>
      </c>
      <c r="R88" s="434">
        <f t="shared" ref="R88:S93" si="47">$N88*P88/($P88+$Q88)</f>
        <v>20790</v>
      </c>
      <c r="S88" s="434">
        <f t="shared" si="47"/>
        <v>10709.999999999998</v>
      </c>
      <c r="T88" s="724"/>
      <c r="U88" s="289">
        <v>42369</v>
      </c>
      <c r="V88" s="249">
        <f t="shared" ref="V88:V93" si="48">IF($A$5&lt;K88,0,IF(N88*ROUND(($A$5-K88)/30,0)/(ROUND((U88-K88)/30,0))&gt;N88,N88,N88*ROUND(($A$5-K88)/30,0)/(ROUND((U88-K88)/30,0))))</f>
        <v>31500</v>
      </c>
      <c r="W88" s="250">
        <f t="shared" si="41"/>
        <v>20790</v>
      </c>
      <c r="X88" s="250">
        <f t="shared" si="42"/>
        <v>10709.999999999998</v>
      </c>
      <c r="Y88" s="250">
        <f t="shared" si="43"/>
        <v>0</v>
      </c>
      <c r="Z88" s="250">
        <f t="shared" si="44"/>
        <v>0</v>
      </c>
      <c r="AA88" s="250"/>
      <c r="AB88" s="251" t="s">
        <v>277</v>
      </c>
    </row>
    <row r="89" spans="1:28" x14ac:dyDescent="0.35">
      <c r="A89" s="283" t="s">
        <v>89</v>
      </c>
      <c r="B89" s="299" t="s">
        <v>529</v>
      </c>
      <c r="C89" s="422" t="s">
        <v>522</v>
      </c>
      <c r="D89" s="736"/>
      <c r="E89" s="228"/>
      <c r="F89" s="724"/>
      <c r="G89" s="727"/>
      <c r="H89" s="724"/>
      <c r="I89" s="736"/>
      <c r="J89" s="289">
        <v>42415</v>
      </c>
      <c r="K89" s="289">
        <v>42370</v>
      </c>
      <c r="L89" s="249">
        <v>16536</v>
      </c>
      <c r="M89" s="248" t="s">
        <v>113</v>
      </c>
      <c r="N89" s="249">
        <f t="shared" si="45"/>
        <v>16536</v>
      </c>
      <c r="O89" s="277"/>
      <c r="P89" s="247">
        <v>0.66</v>
      </c>
      <c r="Q89" s="247">
        <f t="shared" si="46"/>
        <v>0.33999999999999997</v>
      </c>
      <c r="R89" s="434">
        <f t="shared" si="47"/>
        <v>10913.76</v>
      </c>
      <c r="S89" s="434">
        <f t="shared" si="47"/>
        <v>5622.24</v>
      </c>
      <c r="T89" s="724"/>
      <c r="U89" s="289">
        <v>42551</v>
      </c>
      <c r="V89" s="249">
        <f t="shared" si="48"/>
        <v>16536</v>
      </c>
      <c r="W89" s="250">
        <f t="shared" si="41"/>
        <v>10913.76</v>
      </c>
      <c r="X89" s="250">
        <f t="shared" si="42"/>
        <v>5622.24</v>
      </c>
      <c r="Y89" s="250">
        <f t="shared" si="43"/>
        <v>0</v>
      </c>
      <c r="Z89" s="250">
        <f t="shared" si="44"/>
        <v>0</v>
      </c>
      <c r="AA89" s="250"/>
      <c r="AB89" s="251" t="s">
        <v>277</v>
      </c>
    </row>
    <row r="90" spans="1:28" x14ac:dyDescent="0.35">
      <c r="A90" s="283" t="s">
        <v>89</v>
      </c>
      <c r="B90" s="299" t="s">
        <v>571</v>
      </c>
      <c r="C90" s="422" t="s">
        <v>572</v>
      </c>
      <c r="D90" s="736"/>
      <c r="E90" s="228"/>
      <c r="F90" s="724"/>
      <c r="G90" s="727"/>
      <c r="H90" s="724"/>
      <c r="I90" s="736"/>
      <c r="J90" s="289">
        <v>42556</v>
      </c>
      <c r="K90" s="289">
        <v>42552</v>
      </c>
      <c r="L90" s="249">
        <v>16536</v>
      </c>
      <c r="M90" s="248" t="s">
        <v>113</v>
      </c>
      <c r="N90" s="249">
        <f t="shared" si="45"/>
        <v>16536</v>
      </c>
      <c r="O90" s="277"/>
      <c r="P90" s="247">
        <v>0.66</v>
      </c>
      <c r="Q90" s="247">
        <f t="shared" si="46"/>
        <v>0.33999999999999997</v>
      </c>
      <c r="R90" s="434">
        <f>$N90*P90/($P90+$Q90)</f>
        <v>10913.76</v>
      </c>
      <c r="S90" s="434">
        <f>$N90*Q90/($P90+$Q90)</f>
        <v>5622.24</v>
      </c>
      <c r="T90" s="724"/>
      <c r="U90" s="289">
        <v>42735</v>
      </c>
      <c r="V90" s="249">
        <f t="shared" si="48"/>
        <v>16536</v>
      </c>
      <c r="W90" s="250">
        <f t="shared" si="41"/>
        <v>10913.76</v>
      </c>
      <c r="X90" s="250">
        <f t="shared" si="42"/>
        <v>5622.24</v>
      </c>
      <c r="Y90" s="250">
        <f t="shared" si="43"/>
        <v>0</v>
      </c>
      <c r="Z90" s="250">
        <f t="shared" si="44"/>
        <v>0</v>
      </c>
      <c r="AA90" s="250"/>
      <c r="AB90" s="251" t="s">
        <v>277</v>
      </c>
    </row>
    <row r="91" spans="1:28" x14ac:dyDescent="0.35">
      <c r="A91" s="283" t="s">
        <v>89</v>
      </c>
      <c r="B91" s="299" t="s">
        <v>605</v>
      </c>
      <c r="C91" s="422" t="s">
        <v>604</v>
      </c>
      <c r="D91" s="736"/>
      <c r="E91" s="228"/>
      <c r="F91" s="724"/>
      <c r="G91" s="727"/>
      <c r="H91" s="724"/>
      <c r="I91" s="736"/>
      <c r="J91" s="289">
        <v>42753</v>
      </c>
      <c r="K91" s="289">
        <v>42736</v>
      </c>
      <c r="L91" s="249">
        <v>33072</v>
      </c>
      <c r="M91" s="248" t="s">
        <v>113</v>
      </c>
      <c r="N91" s="249">
        <f t="shared" si="45"/>
        <v>33072</v>
      </c>
      <c r="O91" s="277"/>
      <c r="P91" s="247">
        <v>0.66</v>
      </c>
      <c r="Q91" s="247">
        <f t="shared" si="46"/>
        <v>0.33999999999999997</v>
      </c>
      <c r="R91" s="434">
        <f>$N91*P91/($P91+$Q91)</f>
        <v>21827.52</v>
      </c>
      <c r="S91" s="434">
        <f>$N91*Q91/($P91+$Q91)</f>
        <v>11244.48</v>
      </c>
      <c r="T91" s="724"/>
      <c r="U91" s="289">
        <v>43100</v>
      </c>
      <c r="V91" s="249">
        <f t="shared" si="48"/>
        <v>33072</v>
      </c>
      <c r="W91" s="250">
        <f t="shared" si="41"/>
        <v>21827.52</v>
      </c>
      <c r="X91" s="250">
        <f t="shared" si="42"/>
        <v>11244.48</v>
      </c>
      <c r="Y91" s="250">
        <f t="shared" si="43"/>
        <v>0</v>
      </c>
      <c r="Z91" s="250">
        <f t="shared" si="44"/>
        <v>0</v>
      </c>
      <c r="AA91" s="250"/>
      <c r="AB91" s="251" t="s">
        <v>277</v>
      </c>
    </row>
    <row r="92" spans="1:28" x14ac:dyDescent="0.35">
      <c r="A92" s="283" t="s">
        <v>89</v>
      </c>
      <c r="B92" s="291" t="s">
        <v>694</v>
      </c>
      <c r="C92" s="292" t="s">
        <v>695</v>
      </c>
      <c r="D92" s="736"/>
      <c r="E92" s="228"/>
      <c r="F92" s="724"/>
      <c r="G92" s="727"/>
      <c r="H92" s="724"/>
      <c r="I92" s="736"/>
      <c r="J92" s="289">
        <v>43129</v>
      </c>
      <c r="K92" s="289">
        <v>43101</v>
      </c>
      <c r="L92" s="249">
        <v>33072</v>
      </c>
      <c r="M92" s="248" t="s">
        <v>113</v>
      </c>
      <c r="N92" s="249">
        <f t="shared" si="45"/>
        <v>33072</v>
      </c>
      <c r="O92" s="277"/>
      <c r="P92" s="247">
        <v>0.66</v>
      </c>
      <c r="Q92" s="247">
        <f t="shared" si="46"/>
        <v>0.33999999999999997</v>
      </c>
      <c r="R92" s="434">
        <f t="shared" ref="R92" si="49">$N92*P92/($P92+$Q92)</f>
        <v>21827.52</v>
      </c>
      <c r="S92" s="434">
        <f t="shared" ref="S92" si="50">$N92*Q92/($P92+$Q92)</f>
        <v>11244.48</v>
      </c>
      <c r="T92" s="724"/>
      <c r="U92" s="289">
        <v>43465</v>
      </c>
      <c r="V92" s="249">
        <f t="shared" si="48"/>
        <v>33072</v>
      </c>
      <c r="W92" s="250">
        <f t="shared" si="41"/>
        <v>21827.52</v>
      </c>
      <c r="X92" s="250">
        <f t="shared" si="42"/>
        <v>11244.48</v>
      </c>
      <c r="Y92" s="250">
        <f t="shared" si="43"/>
        <v>0</v>
      </c>
      <c r="Z92" s="250">
        <f t="shared" si="44"/>
        <v>0</v>
      </c>
      <c r="AA92" s="250"/>
      <c r="AB92" s="251" t="s">
        <v>277</v>
      </c>
    </row>
    <row r="93" spans="1:28" ht="13.15" thickBot="1" x14ac:dyDescent="0.4">
      <c r="A93" s="295" t="s">
        <v>87</v>
      </c>
      <c r="B93" s="296" t="s">
        <v>696</v>
      </c>
      <c r="C93" s="297" t="s">
        <v>697</v>
      </c>
      <c r="D93" s="737"/>
      <c r="E93" s="43"/>
      <c r="F93" s="725"/>
      <c r="G93" s="728"/>
      <c r="H93" s="725"/>
      <c r="I93" s="737"/>
      <c r="J93" s="262">
        <v>43482</v>
      </c>
      <c r="K93" s="262">
        <v>43466</v>
      </c>
      <c r="L93" s="255">
        <v>15000</v>
      </c>
      <c r="M93" s="254" t="s">
        <v>113</v>
      </c>
      <c r="N93" s="255">
        <f t="shared" si="45"/>
        <v>15000</v>
      </c>
      <c r="O93" s="441"/>
      <c r="P93" s="252">
        <v>0.66</v>
      </c>
      <c r="Q93" s="252">
        <f t="shared" si="46"/>
        <v>0.33999999999999997</v>
      </c>
      <c r="R93" s="253">
        <f t="shared" si="47"/>
        <v>9900</v>
      </c>
      <c r="S93" s="253">
        <f t="shared" si="47"/>
        <v>5099.9999999999991</v>
      </c>
      <c r="T93" s="725"/>
      <c r="U93" s="389">
        <v>43646</v>
      </c>
      <c r="V93" s="255">
        <f t="shared" si="48"/>
        <v>5000</v>
      </c>
      <c r="W93" s="256">
        <f t="shared" si="41"/>
        <v>3300</v>
      </c>
      <c r="X93" s="256">
        <f t="shared" si="42"/>
        <v>1699.9999999999998</v>
      </c>
      <c r="Y93" s="256">
        <f t="shared" si="43"/>
        <v>6600</v>
      </c>
      <c r="Z93" s="256">
        <f t="shared" si="44"/>
        <v>3399.9999999999991</v>
      </c>
      <c r="AA93" s="256"/>
      <c r="AB93" s="263" t="s">
        <v>277</v>
      </c>
    </row>
    <row r="94" spans="1:28" x14ac:dyDescent="0.35">
      <c r="A94" s="278" t="s">
        <v>89</v>
      </c>
      <c r="B94" s="279" t="s">
        <v>223</v>
      </c>
      <c r="C94" s="280" t="s">
        <v>250</v>
      </c>
      <c r="D94" s="735" t="s">
        <v>198</v>
      </c>
      <c r="E94" s="44"/>
      <c r="F94" s="723" t="s">
        <v>113</v>
      </c>
      <c r="G94" s="726" t="s">
        <v>62</v>
      </c>
      <c r="H94" s="723" t="s">
        <v>71</v>
      </c>
      <c r="I94" s="735" t="s">
        <v>304</v>
      </c>
      <c r="J94" s="240">
        <v>40969</v>
      </c>
      <c r="K94" s="240">
        <v>40998</v>
      </c>
      <c r="L94" s="281">
        <v>82000000</v>
      </c>
      <c r="M94" s="282" t="s">
        <v>149</v>
      </c>
      <c r="N94" s="241">
        <v>54394.7</v>
      </c>
      <c r="O94" s="440"/>
      <c r="P94" s="238">
        <v>0.66</v>
      </c>
      <c r="Q94" s="238">
        <f t="shared" si="26"/>
        <v>0.33999999999999997</v>
      </c>
      <c r="R94" s="239">
        <f t="shared" ref="R94:S96" si="51">$N94*P94/($P94+$Q94)</f>
        <v>35900.502</v>
      </c>
      <c r="S94" s="239">
        <f t="shared" si="51"/>
        <v>18494.197999999997</v>
      </c>
      <c r="T94" s="723" t="s">
        <v>199</v>
      </c>
      <c r="U94" s="240">
        <v>41362</v>
      </c>
      <c r="V94" s="241">
        <f>IF(N94*ROUND(($A$5-K94)/30,0)/(ROUND((U94-K94)/30,0))&gt;N94,N94,N94*ROUND(($A$5-K94)/30,0)/(ROUND((U94-K94)/30,0)))</f>
        <v>54394.7</v>
      </c>
      <c r="W94" s="242">
        <f t="shared" si="41"/>
        <v>35900.502</v>
      </c>
      <c r="X94" s="242">
        <f t="shared" si="42"/>
        <v>18494.197999999997</v>
      </c>
      <c r="Y94" s="242">
        <f t="shared" si="43"/>
        <v>0</v>
      </c>
      <c r="Z94" s="242">
        <f t="shared" si="44"/>
        <v>0</v>
      </c>
      <c r="AA94" s="242"/>
      <c r="AB94" s="257"/>
    </row>
    <row r="95" spans="1:28" x14ac:dyDescent="0.35">
      <c r="A95" s="283" t="s">
        <v>89</v>
      </c>
      <c r="B95" s="287" t="s">
        <v>266</v>
      </c>
      <c r="C95" s="221" t="s">
        <v>267</v>
      </c>
      <c r="D95" s="736"/>
      <c r="E95" s="42"/>
      <c r="F95" s="724"/>
      <c r="G95" s="727"/>
      <c r="H95" s="724"/>
      <c r="I95" s="736"/>
      <c r="J95" s="222">
        <v>41334</v>
      </c>
      <c r="K95" s="222">
        <v>41363</v>
      </c>
      <c r="L95" s="286">
        <v>82000000</v>
      </c>
      <c r="M95" s="223" t="s">
        <v>149</v>
      </c>
      <c r="N95" s="224">
        <v>54394.7</v>
      </c>
      <c r="O95" s="227"/>
      <c r="P95" s="244">
        <v>0.66</v>
      </c>
      <c r="Q95" s="244">
        <f t="shared" si="26"/>
        <v>0.33999999999999997</v>
      </c>
      <c r="R95" s="236">
        <f t="shared" si="51"/>
        <v>35900.502</v>
      </c>
      <c r="S95" s="236">
        <f t="shared" si="51"/>
        <v>18494.197999999997</v>
      </c>
      <c r="T95" s="724"/>
      <c r="U95" s="222">
        <v>41727</v>
      </c>
      <c r="V95" s="224">
        <f>IF(N95*ROUND(($A$5-K95)/30,0)/(ROUND((U95-K95)/30,0))&gt;N95,N95,N95*ROUND(($A$5-K95)/30,0)/(ROUND((U95-K95)/30,0)))</f>
        <v>54394.7</v>
      </c>
      <c r="W95" s="245">
        <f t="shared" si="41"/>
        <v>35900.502</v>
      </c>
      <c r="X95" s="245">
        <f t="shared" si="42"/>
        <v>18494.197999999997</v>
      </c>
      <c r="Y95" s="245">
        <f t="shared" si="43"/>
        <v>0</v>
      </c>
      <c r="Z95" s="245">
        <f t="shared" si="44"/>
        <v>0</v>
      </c>
      <c r="AA95" s="245"/>
      <c r="AB95" s="246" t="s">
        <v>278</v>
      </c>
    </row>
    <row r="96" spans="1:28" x14ac:dyDescent="0.35">
      <c r="A96" s="283" t="s">
        <v>89</v>
      </c>
      <c r="B96" s="287" t="s">
        <v>333</v>
      </c>
      <c r="C96" s="221" t="s">
        <v>334</v>
      </c>
      <c r="D96" s="736"/>
      <c r="E96" s="42"/>
      <c r="F96" s="724"/>
      <c r="G96" s="727"/>
      <c r="H96" s="724"/>
      <c r="I96" s="736"/>
      <c r="J96" s="222">
        <v>41728</v>
      </c>
      <c r="K96" s="222">
        <v>41728</v>
      </c>
      <c r="L96" s="224">
        <f>L95*9/(12*1500)</f>
        <v>41000</v>
      </c>
      <c r="M96" s="223" t="s">
        <v>113</v>
      </c>
      <c r="N96" s="224">
        <v>41000</v>
      </c>
      <c r="O96" s="227"/>
      <c r="P96" s="244">
        <v>0.66</v>
      </c>
      <c r="Q96" s="244">
        <f t="shared" si="26"/>
        <v>0.33999999999999997</v>
      </c>
      <c r="R96" s="236">
        <f t="shared" si="51"/>
        <v>27060</v>
      </c>
      <c r="S96" s="236">
        <f t="shared" si="51"/>
        <v>13939.999999999998</v>
      </c>
      <c r="T96" s="724"/>
      <c r="U96" s="222">
        <v>42004</v>
      </c>
      <c r="V96" s="224">
        <f>IF(N96*ROUND(($A$5-K96)/30,0)/(ROUND((U96-K96)/30,0))&gt;N96,N96,N96*ROUND(($A$5-K96)/30,0)/(ROUND((U96-K96)/30,0)))</f>
        <v>41000</v>
      </c>
      <c r="W96" s="245">
        <f t="shared" si="41"/>
        <v>27060</v>
      </c>
      <c r="X96" s="245">
        <f t="shared" si="42"/>
        <v>13939.999999999998</v>
      </c>
      <c r="Y96" s="245">
        <f t="shared" si="43"/>
        <v>0</v>
      </c>
      <c r="Z96" s="245">
        <f t="shared" si="44"/>
        <v>0</v>
      </c>
      <c r="AA96" s="245"/>
      <c r="AB96" s="246" t="s">
        <v>277</v>
      </c>
    </row>
    <row r="97" spans="1:28" x14ac:dyDescent="0.35">
      <c r="A97" s="283" t="s">
        <v>89</v>
      </c>
      <c r="B97" s="299" t="s">
        <v>432</v>
      </c>
      <c r="C97" s="422" t="s">
        <v>433</v>
      </c>
      <c r="D97" s="736"/>
      <c r="E97" s="228"/>
      <c r="F97" s="724"/>
      <c r="G97" s="727"/>
      <c r="H97" s="724"/>
      <c r="I97" s="736"/>
      <c r="J97" s="289">
        <v>42006</v>
      </c>
      <c r="K97" s="289">
        <v>42005</v>
      </c>
      <c r="L97" s="249">
        <v>57393</v>
      </c>
      <c r="M97" s="248" t="s">
        <v>113</v>
      </c>
      <c r="N97" s="249">
        <f>L97</f>
        <v>57393</v>
      </c>
      <c r="O97" s="277"/>
      <c r="P97" s="247">
        <v>0.66</v>
      </c>
      <c r="Q97" s="247">
        <f>1-P97</f>
        <v>0.33999999999999997</v>
      </c>
      <c r="R97" s="434">
        <f t="shared" ref="R97:S100" si="52">$N97*P97/($P97+$Q97)</f>
        <v>37879.380000000005</v>
      </c>
      <c r="S97" s="434">
        <f t="shared" si="52"/>
        <v>19513.62</v>
      </c>
      <c r="T97" s="724"/>
      <c r="U97" s="289">
        <v>42369</v>
      </c>
      <c r="V97" s="249">
        <f>IF($A$5&lt;K97,0,IF(N97*ROUND(($A$5-K97)/30,0)/(ROUND((U97-K97)/30,0))&gt;N97,N97,N97*ROUND(($A$5-K97)/30,0)/(ROUND((U97-K97)/30,0))))</f>
        <v>57393</v>
      </c>
      <c r="W97" s="250">
        <f t="shared" si="41"/>
        <v>37879.380000000005</v>
      </c>
      <c r="X97" s="250">
        <f t="shared" si="42"/>
        <v>19513.62</v>
      </c>
      <c r="Y97" s="250">
        <f t="shared" si="43"/>
        <v>0</v>
      </c>
      <c r="Z97" s="250">
        <f t="shared" si="44"/>
        <v>0</v>
      </c>
      <c r="AA97" s="250"/>
      <c r="AB97" s="251" t="s">
        <v>277</v>
      </c>
    </row>
    <row r="98" spans="1:28" x14ac:dyDescent="0.35">
      <c r="A98" s="283" t="s">
        <v>89</v>
      </c>
      <c r="B98" s="299" t="s">
        <v>530</v>
      </c>
      <c r="C98" s="422" t="s">
        <v>521</v>
      </c>
      <c r="D98" s="736"/>
      <c r="E98" s="228"/>
      <c r="F98" s="724"/>
      <c r="G98" s="727"/>
      <c r="H98" s="724"/>
      <c r="I98" s="736"/>
      <c r="J98" s="289">
        <v>42415</v>
      </c>
      <c r="K98" s="289">
        <v>42370</v>
      </c>
      <c r="L98" s="249">
        <v>30131</v>
      </c>
      <c r="M98" s="248" t="s">
        <v>113</v>
      </c>
      <c r="N98" s="249">
        <f>L98</f>
        <v>30131</v>
      </c>
      <c r="O98" s="277"/>
      <c r="P98" s="247">
        <v>0.66</v>
      </c>
      <c r="Q98" s="247">
        <f>1-P98</f>
        <v>0.33999999999999997</v>
      </c>
      <c r="R98" s="434">
        <f t="shared" si="52"/>
        <v>19886.46</v>
      </c>
      <c r="S98" s="434">
        <f t="shared" si="52"/>
        <v>10244.539999999999</v>
      </c>
      <c r="T98" s="724"/>
      <c r="U98" s="289">
        <v>42551</v>
      </c>
      <c r="V98" s="249">
        <f>IF($A$5&lt;K98,0,IF(N98*ROUND(($A$5-K98)/30,0)/(ROUND((U98-K98)/30,0))&gt;N98,N98,N98*ROUND(($A$5-K98)/30,0)/(ROUND((U98-K98)/30,0))))</f>
        <v>30131</v>
      </c>
      <c r="W98" s="250">
        <f t="shared" si="41"/>
        <v>19886.46</v>
      </c>
      <c r="X98" s="250">
        <f t="shared" si="42"/>
        <v>10244.539999999999</v>
      </c>
      <c r="Y98" s="250">
        <f t="shared" si="43"/>
        <v>0</v>
      </c>
      <c r="Z98" s="250">
        <f t="shared" si="44"/>
        <v>0</v>
      </c>
      <c r="AA98" s="250"/>
      <c r="AB98" s="251" t="s">
        <v>277</v>
      </c>
    </row>
    <row r="99" spans="1:28" x14ac:dyDescent="0.35">
      <c r="A99" s="283" t="s">
        <v>89</v>
      </c>
      <c r="B99" s="299" t="s">
        <v>573</v>
      </c>
      <c r="C99" s="422" t="s">
        <v>574</v>
      </c>
      <c r="D99" s="736"/>
      <c r="E99" s="228"/>
      <c r="F99" s="724"/>
      <c r="G99" s="727"/>
      <c r="H99" s="724"/>
      <c r="I99" s="736"/>
      <c r="J99" s="289">
        <v>42556</v>
      </c>
      <c r="K99" s="289">
        <v>42552</v>
      </c>
      <c r="L99" s="249">
        <v>30132</v>
      </c>
      <c r="M99" s="248" t="s">
        <v>113</v>
      </c>
      <c r="N99" s="249">
        <f>L99</f>
        <v>30132</v>
      </c>
      <c r="O99" s="277"/>
      <c r="P99" s="247">
        <v>0.66</v>
      </c>
      <c r="Q99" s="247">
        <f>1-P99</f>
        <v>0.33999999999999997</v>
      </c>
      <c r="R99" s="434">
        <f t="shared" si="52"/>
        <v>19887.120000000003</v>
      </c>
      <c r="S99" s="434">
        <f t="shared" si="52"/>
        <v>10244.879999999999</v>
      </c>
      <c r="T99" s="724"/>
      <c r="U99" s="289">
        <v>42735</v>
      </c>
      <c r="V99" s="249">
        <f>IF($A$5&lt;K99,0,IF(N99*ROUND(($A$5-K99)/30,0)/(ROUND((U99-K99)/30,0))&gt;N99,N99,N99*ROUND(($A$5-K99)/30,0)/(ROUND((U99-K99)/30,0))))</f>
        <v>30132</v>
      </c>
      <c r="W99" s="250">
        <f t="shared" si="41"/>
        <v>19887.120000000003</v>
      </c>
      <c r="X99" s="250">
        <f t="shared" si="42"/>
        <v>10244.879999999999</v>
      </c>
      <c r="Y99" s="250">
        <f t="shared" si="43"/>
        <v>0</v>
      </c>
      <c r="Z99" s="250">
        <f t="shared" si="44"/>
        <v>0</v>
      </c>
      <c r="AA99" s="250"/>
      <c r="AB99" s="251" t="s">
        <v>277</v>
      </c>
    </row>
    <row r="100" spans="1:28" x14ac:dyDescent="0.35">
      <c r="A100" s="283" t="s">
        <v>89</v>
      </c>
      <c r="B100" s="299" t="s">
        <v>607</v>
      </c>
      <c r="C100" s="422" t="s">
        <v>606</v>
      </c>
      <c r="D100" s="736"/>
      <c r="E100" s="228"/>
      <c r="F100" s="724"/>
      <c r="G100" s="727"/>
      <c r="H100" s="724"/>
      <c r="I100" s="736"/>
      <c r="J100" s="289">
        <v>42753</v>
      </c>
      <c r="K100" s="289">
        <v>42736</v>
      </c>
      <c r="L100" s="249">
        <v>60264</v>
      </c>
      <c r="M100" s="248" t="s">
        <v>113</v>
      </c>
      <c r="N100" s="249">
        <f>L100</f>
        <v>60264</v>
      </c>
      <c r="O100" s="277"/>
      <c r="P100" s="247">
        <v>0.66</v>
      </c>
      <c r="Q100" s="247">
        <f>1-P100</f>
        <v>0.33999999999999997</v>
      </c>
      <c r="R100" s="434">
        <f t="shared" si="52"/>
        <v>39774.240000000005</v>
      </c>
      <c r="S100" s="434">
        <f t="shared" si="52"/>
        <v>20489.759999999998</v>
      </c>
      <c r="T100" s="724"/>
      <c r="U100" s="289">
        <v>43100</v>
      </c>
      <c r="V100" s="249">
        <f>IF($A$5&lt;K100,0,IF(N100*ROUND(($A$5-K100)/30,0)/(ROUND((U100-K100)/30,0))&gt;N100,N100,N100*ROUND(($A$5-K100)/30,0)/(ROUND((U100-K100)/30,0))))</f>
        <v>60264</v>
      </c>
      <c r="W100" s="250">
        <f t="shared" si="41"/>
        <v>39774.240000000005</v>
      </c>
      <c r="X100" s="250">
        <f t="shared" si="42"/>
        <v>20489.759999999998</v>
      </c>
      <c r="Y100" s="250">
        <f t="shared" si="43"/>
        <v>0</v>
      </c>
      <c r="Z100" s="250">
        <f t="shared" si="44"/>
        <v>0</v>
      </c>
      <c r="AA100" s="250"/>
      <c r="AB100" s="251" t="s">
        <v>277</v>
      </c>
    </row>
    <row r="101" spans="1:28" ht="13.15" thickBot="1" x14ac:dyDescent="0.4">
      <c r="A101" s="295" t="s">
        <v>87</v>
      </c>
      <c r="B101" s="296" t="s">
        <v>640</v>
      </c>
      <c r="C101" s="297" t="s">
        <v>641</v>
      </c>
      <c r="D101" s="737"/>
      <c r="E101" s="43"/>
      <c r="F101" s="725"/>
      <c r="G101" s="728"/>
      <c r="H101" s="725"/>
      <c r="I101" s="737"/>
      <c r="J101" s="262">
        <v>43129</v>
      </c>
      <c r="K101" s="262">
        <v>43101</v>
      </c>
      <c r="L101" s="255">
        <v>63600</v>
      </c>
      <c r="M101" s="254" t="s">
        <v>113</v>
      </c>
      <c r="N101" s="255">
        <f>L101</f>
        <v>63600</v>
      </c>
      <c r="O101" s="441"/>
      <c r="P101" s="252">
        <v>0.66</v>
      </c>
      <c r="Q101" s="252">
        <f t="shared" si="26"/>
        <v>0.33999999999999997</v>
      </c>
      <c r="R101" s="253">
        <f t="shared" ref="R101:R113" si="53">$N101*P101/($P101+$Q101)</f>
        <v>41976</v>
      </c>
      <c r="S101" s="253">
        <f t="shared" ref="S101:S113" si="54">$N101*Q101/($P101+$Q101)</f>
        <v>21623.999999999996</v>
      </c>
      <c r="T101" s="725"/>
      <c r="U101" s="262">
        <v>43465</v>
      </c>
      <c r="V101" s="255">
        <v>37100</v>
      </c>
      <c r="W101" s="256">
        <f t="shared" si="41"/>
        <v>24486</v>
      </c>
      <c r="X101" s="256">
        <f t="shared" si="42"/>
        <v>12613.999999999998</v>
      </c>
      <c r="Y101" s="256">
        <f t="shared" si="43"/>
        <v>17490</v>
      </c>
      <c r="Z101" s="256">
        <f t="shared" si="44"/>
        <v>9009.9999999999982</v>
      </c>
      <c r="AA101" s="256"/>
      <c r="AB101" s="263" t="s">
        <v>277</v>
      </c>
    </row>
    <row r="102" spans="1:28" x14ac:dyDescent="0.35">
      <c r="A102" s="278" t="s">
        <v>89</v>
      </c>
      <c r="B102" s="279" t="s">
        <v>224</v>
      </c>
      <c r="C102" s="280" t="s">
        <v>251</v>
      </c>
      <c r="D102" s="735" t="s">
        <v>200</v>
      </c>
      <c r="E102" s="44"/>
      <c r="F102" s="723" t="s">
        <v>113</v>
      </c>
      <c r="G102" s="726" t="s">
        <v>62</v>
      </c>
      <c r="H102" s="723" t="s">
        <v>71</v>
      </c>
      <c r="I102" s="735" t="s">
        <v>304</v>
      </c>
      <c r="J102" s="240">
        <v>41183</v>
      </c>
      <c r="K102" s="240">
        <f>J102</f>
        <v>41183</v>
      </c>
      <c r="L102" s="281">
        <v>42000000</v>
      </c>
      <c r="M102" s="282" t="s">
        <v>149</v>
      </c>
      <c r="N102" s="241">
        <v>27860.69</v>
      </c>
      <c r="O102" s="440"/>
      <c r="P102" s="238">
        <v>0.66</v>
      </c>
      <c r="Q102" s="238">
        <f t="shared" si="26"/>
        <v>0.33999999999999997</v>
      </c>
      <c r="R102" s="239">
        <f t="shared" si="53"/>
        <v>18388.055400000001</v>
      </c>
      <c r="S102" s="239">
        <f t="shared" si="54"/>
        <v>9472.6345999999994</v>
      </c>
      <c r="T102" s="723" t="s">
        <v>201</v>
      </c>
      <c r="U102" s="240">
        <v>41547</v>
      </c>
      <c r="V102" s="241">
        <f>IF(N102*ROUND(($A$5-K102)/30,0)/(ROUND((U102-K102)/30,0))&gt;N102,N102,N102*ROUND(($A$5-K102)/30,0)/(ROUND((U102-K102)/30,0)))</f>
        <v>27860.69</v>
      </c>
      <c r="W102" s="242">
        <f t="shared" si="41"/>
        <v>18388.055400000001</v>
      </c>
      <c r="X102" s="242">
        <f t="shared" si="42"/>
        <v>9472.6345999999994</v>
      </c>
      <c r="Y102" s="242">
        <f t="shared" si="43"/>
        <v>0</v>
      </c>
      <c r="Z102" s="242">
        <f t="shared" si="44"/>
        <v>0</v>
      </c>
      <c r="AA102" s="242"/>
      <c r="AB102" s="257"/>
    </row>
    <row r="103" spans="1:28" x14ac:dyDescent="0.35">
      <c r="A103" s="283" t="s">
        <v>89</v>
      </c>
      <c r="B103" s="287" t="s">
        <v>286</v>
      </c>
      <c r="C103" s="221" t="s">
        <v>287</v>
      </c>
      <c r="D103" s="736"/>
      <c r="E103" s="42"/>
      <c r="F103" s="724"/>
      <c r="G103" s="727"/>
      <c r="H103" s="724"/>
      <c r="I103" s="736"/>
      <c r="J103" s="222">
        <v>41548</v>
      </c>
      <c r="K103" s="222">
        <v>41548</v>
      </c>
      <c r="L103" s="224">
        <v>35000</v>
      </c>
      <c r="M103" s="223" t="s">
        <v>113</v>
      </c>
      <c r="N103" s="224">
        <v>35000</v>
      </c>
      <c r="O103" s="227"/>
      <c r="P103" s="244">
        <v>0.66</v>
      </c>
      <c r="Q103" s="244">
        <f t="shared" si="26"/>
        <v>0.33999999999999997</v>
      </c>
      <c r="R103" s="236">
        <f t="shared" si="53"/>
        <v>23100</v>
      </c>
      <c r="S103" s="236">
        <f t="shared" si="54"/>
        <v>11899.999999999998</v>
      </c>
      <c r="T103" s="724"/>
      <c r="U103" s="222">
        <v>42004</v>
      </c>
      <c r="V103" s="224">
        <f>IF(N103*ROUND(($A$5-K103)/30,0)/(ROUND((U103-K103)/30,0))&gt;N103,N103,N103*ROUND(($A$5-K103)/30,0)/(ROUND((U103-K103)/30,0)))</f>
        <v>35000</v>
      </c>
      <c r="W103" s="245">
        <f t="shared" si="41"/>
        <v>23100</v>
      </c>
      <c r="X103" s="245">
        <f t="shared" si="42"/>
        <v>11899.999999999998</v>
      </c>
      <c r="Y103" s="245">
        <f t="shared" si="43"/>
        <v>0</v>
      </c>
      <c r="Z103" s="245">
        <f t="shared" si="44"/>
        <v>0</v>
      </c>
      <c r="AA103" s="245"/>
      <c r="AB103" s="246" t="s">
        <v>278</v>
      </c>
    </row>
    <row r="104" spans="1:28" x14ac:dyDescent="0.35">
      <c r="A104" s="283" t="s">
        <v>89</v>
      </c>
      <c r="B104" s="299" t="s">
        <v>440</v>
      </c>
      <c r="C104" s="422" t="s">
        <v>441</v>
      </c>
      <c r="D104" s="736"/>
      <c r="E104" s="228"/>
      <c r="F104" s="724"/>
      <c r="G104" s="727"/>
      <c r="H104" s="724"/>
      <c r="I104" s="736"/>
      <c r="J104" s="289">
        <v>42006</v>
      </c>
      <c r="K104" s="289">
        <v>42005</v>
      </c>
      <c r="L104" s="249">
        <v>29400</v>
      </c>
      <c r="M104" s="248" t="s">
        <v>113</v>
      </c>
      <c r="N104" s="249">
        <f t="shared" ref="N104:N119" si="55">L104</f>
        <v>29400</v>
      </c>
      <c r="O104" s="277"/>
      <c r="P104" s="247">
        <v>0.66</v>
      </c>
      <c r="Q104" s="247">
        <f t="shared" ref="Q104:Q119" si="56">1-P104</f>
        <v>0.33999999999999997</v>
      </c>
      <c r="R104" s="434">
        <f t="shared" si="53"/>
        <v>19404</v>
      </c>
      <c r="S104" s="434">
        <f t="shared" si="54"/>
        <v>9995.9999999999982</v>
      </c>
      <c r="T104" s="724"/>
      <c r="U104" s="289">
        <v>42369</v>
      </c>
      <c r="V104" s="249">
        <f>IF($A$5&lt;K104,0,IF(N104*ROUND(($A$5-K104)/30,0)/(ROUND((U104-K104)/30,0))&gt;N104,N104,N104*ROUND(($A$5-K104)/30,0)/(ROUND((U104-K104)/30,0))))</f>
        <v>29400</v>
      </c>
      <c r="W104" s="250">
        <f t="shared" si="41"/>
        <v>19404</v>
      </c>
      <c r="X104" s="250">
        <f t="shared" si="42"/>
        <v>9995.9999999999982</v>
      </c>
      <c r="Y104" s="250">
        <f t="shared" si="43"/>
        <v>0</v>
      </c>
      <c r="Z104" s="250">
        <f t="shared" si="44"/>
        <v>0</v>
      </c>
      <c r="AA104" s="250"/>
      <c r="AB104" s="251" t="s">
        <v>277</v>
      </c>
    </row>
    <row r="105" spans="1:28" x14ac:dyDescent="0.35">
      <c r="A105" s="283" t="s">
        <v>89</v>
      </c>
      <c r="B105" s="299" t="s">
        <v>531</v>
      </c>
      <c r="C105" s="422" t="s">
        <v>523</v>
      </c>
      <c r="D105" s="736"/>
      <c r="E105" s="228"/>
      <c r="F105" s="724"/>
      <c r="G105" s="727"/>
      <c r="H105" s="724"/>
      <c r="I105" s="736"/>
      <c r="J105" s="289">
        <v>42415</v>
      </c>
      <c r="K105" s="289">
        <v>42370</v>
      </c>
      <c r="L105" s="249">
        <v>15435</v>
      </c>
      <c r="M105" s="248" t="s">
        <v>113</v>
      </c>
      <c r="N105" s="249">
        <f t="shared" si="55"/>
        <v>15435</v>
      </c>
      <c r="O105" s="277"/>
      <c r="P105" s="247">
        <v>0.66</v>
      </c>
      <c r="Q105" s="247">
        <f t="shared" si="56"/>
        <v>0.33999999999999997</v>
      </c>
      <c r="R105" s="434">
        <f t="shared" si="53"/>
        <v>10187.1</v>
      </c>
      <c r="S105" s="434">
        <f t="shared" si="54"/>
        <v>5247.9</v>
      </c>
      <c r="T105" s="724"/>
      <c r="U105" s="289">
        <v>42551</v>
      </c>
      <c r="V105" s="249">
        <f>IF($A$5&lt;K105,0,IF(N105*ROUND(($A$5-K105)/30,0)/(ROUND((U105-K105)/30,0))&gt;N105,N105,N105*ROUND(($A$5-K105)/30,0)/(ROUND((U105-K105)/30,0))))</f>
        <v>15435</v>
      </c>
      <c r="W105" s="250">
        <f t="shared" si="41"/>
        <v>10187.1</v>
      </c>
      <c r="X105" s="250">
        <f t="shared" si="42"/>
        <v>5247.9</v>
      </c>
      <c r="Y105" s="250">
        <f t="shared" si="43"/>
        <v>0</v>
      </c>
      <c r="Z105" s="250">
        <f t="shared" si="44"/>
        <v>0</v>
      </c>
      <c r="AA105" s="250"/>
      <c r="AB105" s="251" t="s">
        <v>277</v>
      </c>
    </row>
    <row r="106" spans="1:28" x14ac:dyDescent="0.35">
      <c r="A106" s="283" t="s">
        <v>89</v>
      </c>
      <c r="B106" s="299" t="s">
        <v>575</v>
      </c>
      <c r="C106" s="422" t="s">
        <v>576</v>
      </c>
      <c r="D106" s="736"/>
      <c r="E106" s="228"/>
      <c r="F106" s="724"/>
      <c r="G106" s="727"/>
      <c r="H106" s="724"/>
      <c r="I106" s="736"/>
      <c r="J106" s="289">
        <v>42556</v>
      </c>
      <c r="K106" s="289">
        <v>42552</v>
      </c>
      <c r="L106" s="249">
        <v>15435</v>
      </c>
      <c r="M106" s="248" t="s">
        <v>113</v>
      </c>
      <c r="N106" s="249">
        <f t="shared" si="55"/>
        <v>15435</v>
      </c>
      <c r="O106" s="277"/>
      <c r="P106" s="247">
        <v>0.66</v>
      </c>
      <c r="Q106" s="247">
        <f t="shared" si="56"/>
        <v>0.33999999999999997</v>
      </c>
      <c r="R106" s="434">
        <f t="shared" si="53"/>
        <v>10187.1</v>
      </c>
      <c r="S106" s="434">
        <f t="shared" si="54"/>
        <v>5247.9</v>
      </c>
      <c r="T106" s="724"/>
      <c r="U106" s="289">
        <v>42735</v>
      </c>
      <c r="V106" s="249">
        <f>IF($A$5&lt;K106,0,IF(N106*ROUND(($A$5-K106)/30,0)/(ROUND((U106-K106)/30,0))&gt;N106,N106,N106*ROUND(($A$5-K106)/30,0)/(ROUND((U106-K106)/30,0))))</f>
        <v>15435</v>
      </c>
      <c r="W106" s="250">
        <f t="shared" si="41"/>
        <v>10187.1</v>
      </c>
      <c r="X106" s="250">
        <f t="shared" si="42"/>
        <v>5247.9</v>
      </c>
      <c r="Y106" s="250">
        <f t="shared" si="43"/>
        <v>0</v>
      </c>
      <c r="Z106" s="250">
        <f t="shared" si="44"/>
        <v>0</v>
      </c>
      <c r="AA106" s="250"/>
      <c r="AB106" s="251" t="s">
        <v>277</v>
      </c>
    </row>
    <row r="107" spans="1:28" x14ac:dyDescent="0.35">
      <c r="A107" s="283" t="s">
        <v>89</v>
      </c>
      <c r="B107" s="299" t="s">
        <v>609</v>
      </c>
      <c r="C107" s="422" t="s">
        <v>608</v>
      </c>
      <c r="D107" s="736"/>
      <c r="E107" s="228"/>
      <c r="F107" s="724"/>
      <c r="G107" s="727"/>
      <c r="H107" s="724"/>
      <c r="I107" s="736"/>
      <c r="J107" s="289">
        <v>42753</v>
      </c>
      <c r="K107" s="289">
        <v>42736</v>
      </c>
      <c r="L107" s="249">
        <v>34200</v>
      </c>
      <c r="M107" s="248" t="s">
        <v>113</v>
      </c>
      <c r="N107" s="249">
        <f t="shared" si="55"/>
        <v>34200</v>
      </c>
      <c r="O107" s="277"/>
      <c r="P107" s="247">
        <v>0.66</v>
      </c>
      <c r="Q107" s="247">
        <f>1-P107</f>
        <v>0.33999999999999997</v>
      </c>
      <c r="R107" s="434">
        <f t="shared" si="53"/>
        <v>22572</v>
      </c>
      <c r="S107" s="434">
        <f t="shared" si="54"/>
        <v>11627.999999999998</v>
      </c>
      <c r="T107" s="724"/>
      <c r="U107" s="289">
        <v>43100</v>
      </c>
      <c r="V107" s="249">
        <f>IF($A$5&lt;K107,0,IF(N107*ROUND(($A$5-K107)/30,0)/(ROUND((U107-K107)/30,0))&gt;N107,N107,N107*ROUND(($A$5-K107)/30,0)/(ROUND((U107-K107)/30,0))))</f>
        <v>34200</v>
      </c>
      <c r="W107" s="250">
        <f t="shared" si="41"/>
        <v>22572</v>
      </c>
      <c r="X107" s="250">
        <f t="shared" si="42"/>
        <v>11627.999999999998</v>
      </c>
      <c r="Y107" s="250">
        <f t="shared" si="43"/>
        <v>0</v>
      </c>
      <c r="Z107" s="250">
        <f t="shared" si="44"/>
        <v>0</v>
      </c>
      <c r="AA107" s="250"/>
      <c r="AB107" s="251" t="s">
        <v>277</v>
      </c>
    </row>
    <row r="108" spans="1:28" ht="13.15" thickBot="1" x14ac:dyDescent="0.4">
      <c r="A108" s="295" t="s">
        <v>87</v>
      </c>
      <c r="B108" s="296" t="s">
        <v>642</v>
      </c>
      <c r="C108" s="297" t="s">
        <v>643</v>
      </c>
      <c r="D108" s="737"/>
      <c r="E108" s="43"/>
      <c r="F108" s="725"/>
      <c r="G108" s="728"/>
      <c r="H108" s="725"/>
      <c r="I108" s="737"/>
      <c r="J108" s="262">
        <v>43129</v>
      </c>
      <c r="K108" s="262">
        <v>43101</v>
      </c>
      <c r="L108" s="255">
        <v>38400</v>
      </c>
      <c r="M108" s="389" t="s">
        <v>113</v>
      </c>
      <c r="N108" s="255">
        <f t="shared" si="55"/>
        <v>38400</v>
      </c>
      <c r="O108" s="441"/>
      <c r="P108" s="252">
        <v>0.66</v>
      </c>
      <c r="Q108" s="252">
        <f t="shared" si="56"/>
        <v>0.33999999999999997</v>
      </c>
      <c r="R108" s="253">
        <f t="shared" si="53"/>
        <v>25344</v>
      </c>
      <c r="S108" s="253">
        <f t="shared" si="54"/>
        <v>13055.999999999998</v>
      </c>
      <c r="T108" s="725"/>
      <c r="U108" s="262">
        <v>43465</v>
      </c>
      <c r="V108" s="255">
        <f>N108/12</f>
        <v>3200</v>
      </c>
      <c r="W108" s="256">
        <f t="shared" si="41"/>
        <v>2112</v>
      </c>
      <c r="X108" s="256">
        <f t="shared" si="42"/>
        <v>1088</v>
      </c>
      <c r="Y108" s="256"/>
      <c r="Z108" s="256"/>
      <c r="AA108" s="256"/>
      <c r="AB108" s="263" t="s">
        <v>277</v>
      </c>
    </row>
    <row r="109" spans="1:28" x14ac:dyDescent="0.35">
      <c r="A109" s="278" t="s">
        <v>89</v>
      </c>
      <c r="B109" s="314" t="s">
        <v>437</v>
      </c>
      <c r="C109" s="315" t="s">
        <v>436</v>
      </c>
      <c r="D109" s="735" t="s">
        <v>438</v>
      </c>
      <c r="E109" s="44"/>
      <c r="F109" s="723" t="s">
        <v>113</v>
      </c>
      <c r="G109" s="726" t="s">
        <v>62</v>
      </c>
      <c r="H109" s="723" t="s">
        <v>71</v>
      </c>
      <c r="I109" s="735" t="s">
        <v>304</v>
      </c>
      <c r="J109" s="240">
        <v>42006</v>
      </c>
      <c r="K109" s="240">
        <v>42005</v>
      </c>
      <c r="L109" s="241">
        <v>66000</v>
      </c>
      <c r="M109" s="388" t="s">
        <v>113</v>
      </c>
      <c r="N109" s="241">
        <f t="shared" si="55"/>
        <v>66000</v>
      </c>
      <c r="O109" s="440"/>
      <c r="P109" s="238">
        <v>0.66</v>
      </c>
      <c r="Q109" s="238">
        <f t="shared" si="56"/>
        <v>0.33999999999999997</v>
      </c>
      <c r="R109" s="239">
        <f t="shared" si="53"/>
        <v>43560</v>
      </c>
      <c r="S109" s="239">
        <f t="shared" si="54"/>
        <v>22439.999999999996</v>
      </c>
      <c r="T109" s="738" t="s">
        <v>439</v>
      </c>
      <c r="U109" s="240">
        <v>42369</v>
      </c>
      <c r="V109" s="241">
        <f t="shared" ref="V109:V119" si="57">IF($A$5&lt;K109,0,IF(N109*ROUND(($A$5-K109)/30,0)/(ROUND((U109-K109)/30,0))&gt;N109,N109,N109*ROUND(($A$5-K109)/30,0)/(ROUND((U109-K109)/30,0))))</f>
        <v>66000</v>
      </c>
      <c r="W109" s="242">
        <f t="shared" si="41"/>
        <v>43560</v>
      </c>
      <c r="X109" s="242">
        <f t="shared" si="42"/>
        <v>22439.999999999996</v>
      </c>
      <c r="Y109" s="242">
        <f t="shared" ref="Y109:Y119" si="58">R109-W109</f>
        <v>0</v>
      </c>
      <c r="Z109" s="242">
        <f t="shared" ref="Z109:Z119" si="59">S109-X109</f>
        <v>0</v>
      </c>
      <c r="AA109" s="242"/>
      <c r="AB109" s="316" t="s">
        <v>410</v>
      </c>
    </row>
    <row r="110" spans="1:28" x14ac:dyDescent="0.35">
      <c r="A110" s="283" t="s">
        <v>89</v>
      </c>
      <c r="B110" s="326" t="s">
        <v>579</v>
      </c>
      <c r="C110" s="327" t="s">
        <v>551</v>
      </c>
      <c r="D110" s="736"/>
      <c r="E110" s="42"/>
      <c r="F110" s="724"/>
      <c r="G110" s="727"/>
      <c r="H110" s="724"/>
      <c r="I110" s="736"/>
      <c r="J110" s="222"/>
      <c r="K110" s="222">
        <v>42461</v>
      </c>
      <c r="L110" s="224">
        <v>13500</v>
      </c>
      <c r="M110" s="226" t="s">
        <v>113</v>
      </c>
      <c r="N110" s="224">
        <f t="shared" si="55"/>
        <v>13500</v>
      </c>
      <c r="O110" s="227"/>
      <c r="P110" s="244">
        <v>0.66</v>
      </c>
      <c r="Q110" s="244">
        <f t="shared" si="56"/>
        <v>0.33999999999999997</v>
      </c>
      <c r="R110" s="236">
        <f t="shared" si="53"/>
        <v>8910</v>
      </c>
      <c r="S110" s="236">
        <f t="shared" si="54"/>
        <v>4590</v>
      </c>
      <c r="T110" s="724"/>
      <c r="U110" s="259">
        <v>42735</v>
      </c>
      <c r="V110" s="260">
        <f t="shared" si="57"/>
        <v>13500</v>
      </c>
      <c r="W110" s="328">
        <f t="shared" si="41"/>
        <v>8910</v>
      </c>
      <c r="X110" s="328">
        <f t="shared" si="42"/>
        <v>4590</v>
      </c>
      <c r="Y110" s="328">
        <f t="shared" si="58"/>
        <v>0</v>
      </c>
      <c r="Z110" s="328">
        <f t="shared" si="59"/>
        <v>0</v>
      </c>
      <c r="AA110" s="328"/>
      <c r="AB110" s="329" t="s">
        <v>552</v>
      </c>
    </row>
    <row r="111" spans="1:28" x14ac:dyDescent="0.35">
      <c r="A111" s="283" t="s">
        <v>89</v>
      </c>
      <c r="B111" s="326" t="s">
        <v>611</v>
      </c>
      <c r="C111" s="327" t="s">
        <v>610</v>
      </c>
      <c r="D111" s="736"/>
      <c r="E111" s="322"/>
      <c r="F111" s="724"/>
      <c r="G111" s="727"/>
      <c r="H111" s="724"/>
      <c r="I111" s="736"/>
      <c r="J111" s="289">
        <v>42753</v>
      </c>
      <c r="K111" s="259">
        <v>42736</v>
      </c>
      <c r="L111" s="260">
        <v>24000</v>
      </c>
      <c r="M111" s="438" t="s">
        <v>113</v>
      </c>
      <c r="N111" s="260">
        <f t="shared" si="55"/>
        <v>24000</v>
      </c>
      <c r="O111" s="436"/>
      <c r="P111" s="258">
        <v>0.66</v>
      </c>
      <c r="Q111" s="258">
        <f>1-P111</f>
        <v>0.33999999999999997</v>
      </c>
      <c r="R111" s="435">
        <f t="shared" si="53"/>
        <v>15840</v>
      </c>
      <c r="S111" s="435">
        <f t="shared" si="54"/>
        <v>8159.9999999999991</v>
      </c>
      <c r="T111" s="724"/>
      <c r="U111" s="259">
        <v>43100</v>
      </c>
      <c r="V111" s="260">
        <f t="shared" si="57"/>
        <v>24000</v>
      </c>
      <c r="W111" s="328">
        <f t="shared" si="41"/>
        <v>15840</v>
      </c>
      <c r="X111" s="328">
        <f t="shared" si="42"/>
        <v>8159.9999999999991</v>
      </c>
      <c r="Y111" s="328">
        <f t="shared" si="58"/>
        <v>0</v>
      </c>
      <c r="Z111" s="328">
        <f t="shared" si="59"/>
        <v>0</v>
      </c>
      <c r="AA111" s="328"/>
      <c r="AB111" s="352" t="s">
        <v>277</v>
      </c>
    </row>
    <row r="112" spans="1:28" x14ac:dyDescent="0.35">
      <c r="A112" s="283" t="s">
        <v>89</v>
      </c>
      <c r="B112" s="326" t="s">
        <v>698</v>
      </c>
      <c r="C112" s="327" t="s">
        <v>700</v>
      </c>
      <c r="D112" s="736"/>
      <c r="E112" s="42"/>
      <c r="F112" s="724"/>
      <c r="G112" s="727"/>
      <c r="H112" s="724"/>
      <c r="I112" s="736"/>
      <c r="J112" s="289">
        <v>43129</v>
      </c>
      <c r="K112" s="222">
        <v>43101</v>
      </c>
      <c r="L112" s="224">
        <v>24000</v>
      </c>
      <c r="M112" s="226" t="s">
        <v>113</v>
      </c>
      <c r="N112" s="224">
        <f t="shared" si="55"/>
        <v>24000</v>
      </c>
      <c r="O112" s="227"/>
      <c r="P112" s="244">
        <v>0.66</v>
      </c>
      <c r="Q112" s="244">
        <f t="shared" ref="Q112" si="60">1-P112</f>
        <v>0.33999999999999997</v>
      </c>
      <c r="R112" s="236">
        <f t="shared" ref="R112" si="61">$N112*P112/($P112+$Q112)</f>
        <v>15840</v>
      </c>
      <c r="S112" s="236">
        <f t="shared" ref="S112" si="62">$N112*Q112/($P112+$Q112)</f>
        <v>8159.9999999999991</v>
      </c>
      <c r="T112" s="724"/>
      <c r="U112" s="259">
        <v>43465</v>
      </c>
      <c r="V112" s="260">
        <f t="shared" si="57"/>
        <v>24000</v>
      </c>
      <c r="W112" s="328">
        <f t="shared" si="41"/>
        <v>15840</v>
      </c>
      <c r="X112" s="328">
        <f t="shared" si="42"/>
        <v>8159.9999999999991</v>
      </c>
      <c r="Y112" s="328">
        <f t="shared" si="58"/>
        <v>0</v>
      </c>
      <c r="Z112" s="328">
        <f t="shared" si="59"/>
        <v>0</v>
      </c>
      <c r="AA112" s="328"/>
      <c r="AB112" s="352" t="s">
        <v>277</v>
      </c>
    </row>
    <row r="113" spans="1:30" ht="13.15" thickBot="1" x14ac:dyDescent="0.4">
      <c r="A113" s="295" t="s">
        <v>87</v>
      </c>
      <c r="B113" s="296" t="s">
        <v>699</v>
      </c>
      <c r="C113" s="297" t="s">
        <v>701</v>
      </c>
      <c r="D113" s="737"/>
      <c r="E113" s="43"/>
      <c r="F113" s="725"/>
      <c r="G113" s="728"/>
      <c r="H113" s="725"/>
      <c r="I113" s="737"/>
      <c r="J113" s="262">
        <v>43482</v>
      </c>
      <c r="K113" s="444">
        <v>43466</v>
      </c>
      <c r="L113" s="445">
        <v>24000</v>
      </c>
      <c r="M113" s="439" t="s">
        <v>113</v>
      </c>
      <c r="N113" s="445">
        <f t="shared" si="55"/>
        <v>24000</v>
      </c>
      <c r="O113" s="437"/>
      <c r="P113" s="446">
        <v>0.66</v>
      </c>
      <c r="Q113" s="446">
        <f t="shared" si="56"/>
        <v>0.33999999999999997</v>
      </c>
      <c r="R113" s="447">
        <f t="shared" si="53"/>
        <v>15840</v>
      </c>
      <c r="S113" s="447">
        <f t="shared" si="54"/>
        <v>8159.9999999999991</v>
      </c>
      <c r="T113" s="739"/>
      <c r="U113" s="262">
        <v>43830</v>
      </c>
      <c r="V113" s="255">
        <f t="shared" si="57"/>
        <v>4000</v>
      </c>
      <c r="W113" s="256">
        <f t="shared" si="41"/>
        <v>2640</v>
      </c>
      <c r="X113" s="256">
        <f t="shared" si="42"/>
        <v>1359.9999999999998</v>
      </c>
      <c r="Y113" s="256">
        <f t="shared" si="58"/>
        <v>13200</v>
      </c>
      <c r="Z113" s="256">
        <f t="shared" si="59"/>
        <v>6799.9999999999991</v>
      </c>
      <c r="AA113" s="256"/>
      <c r="AB113" s="263" t="s">
        <v>277</v>
      </c>
    </row>
    <row r="114" spans="1:30" x14ac:dyDescent="0.35">
      <c r="A114" s="278" t="s">
        <v>89</v>
      </c>
      <c r="B114" s="314" t="s">
        <v>585</v>
      </c>
      <c r="C114" s="315" t="s">
        <v>587</v>
      </c>
      <c r="D114" s="735" t="s">
        <v>179</v>
      </c>
      <c r="E114" s="44"/>
      <c r="F114" s="723" t="s">
        <v>113</v>
      </c>
      <c r="G114" s="726" t="s">
        <v>62</v>
      </c>
      <c r="H114" s="723" t="s">
        <v>71</v>
      </c>
      <c r="I114" s="735" t="s">
        <v>304</v>
      </c>
      <c r="J114" s="240">
        <v>42753</v>
      </c>
      <c r="K114" s="240">
        <v>42736</v>
      </c>
      <c r="L114" s="241"/>
      <c r="M114" s="388" t="s">
        <v>113</v>
      </c>
      <c r="N114" s="241">
        <f t="shared" si="55"/>
        <v>0</v>
      </c>
      <c r="O114" s="440"/>
      <c r="P114" s="238">
        <v>0.66</v>
      </c>
      <c r="Q114" s="238">
        <f>1-P114</f>
        <v>0.33999999999999997</v>
      </c>
      <c r="R114" s="239">
        <f t="shared" ref="R114:S119" si="63">$N114*P114/($P114+$Q114)</f>
        <v>0</v>
      </c>
      <c r="S114" s="239">
        <f t="shared" si="63"/>
        <v>0</v>
      </c>
      <c r="T114" s="723" t="s">
        <v>589</v>
      </c>
      <c r="U114" s="240">
        <v>43100</v>
      </c>
      <c r="V114" s="241">
        <f t="shared" si="57"/>
        <v>0</v>
      </c>
      <c r="W114" s="242">
        <f t="shared" si="41"/>
        <v>0</v>
      </c>
      <c r="X114" s="242">
        <f t="shared" si="42"/>
        <v>0</v>
      </c>
      <c r="Y114" s="242">
        <f t="shared" si="58"/>
        <v>0</v>
      </c>
      <c r="Z114" s="242">
        <f t="shared" si="59"/>
        <v>0</v>
      </c>
      <c r="AA114" s="242"/>
      <c r="AB114" s="316" t="s">
        <v>410</v>
      </c>
    </row>
    <row r="115" spans="1:30" x14ac:dyDescent="0.35">
      <c r="A115" s="390" t="s">
        <v>89</v>
      </c>
      <c r="B115" s="326" t="s">
        <v>702</v>
      </c>
      <c r="C115" s="327" t="s">
        <v>704</v>
      </c>
      <c r="D115" s="736"/>
      <c r="E115" s="322"/>
      <c r="F115" s="724"/>
      <c r="G115" s="727"/>
      <c r="H115" s="724"/>
      <c r="I115" s="736"/>
      <c r="J115" s="259">
        <v>43129</v>
      </c>
      <c r="K115" s="259">
        <v>43101</v>
      </c>
      <c r="L115" s="260"/>
      <c r="M115" s="438" t="s">
        <v>113</v>
      </c>
      <c r="N115" s="260">
        <f t="shared" si="55"/>
        <v>0</v>
      </c>
      <c r="O115" s="436"/>
      <c r="P115" s="258">
        <v>0.66</v>
      </c>
      <c r="Q115" s="258">
        <f t="shared" ref="Q115" si="64">1-P115</f>
        <v>0.33999999999999997</v>
      </c>
      <c r="R115" s="435">
        <f t="shared" ref="R115" si="65">$N115*P115/($P115+$Q115)</f>
        <v>0</v>
      </c>
      <c r="S115" s="435">
        <f t="shared" ref="S115" si="66">$N115*Q115/($P115+$Q115)</f>
        <v>0</v>
      </c>
      <c r="T115" s="724"/>
      <c r="U115" s="259">
        <v>43465</v>
      </c>
      <c r="V115" s="260">
        <f t="shared" si="57"/>
        <v>0</v>
      </c>
      <c r="W115" s="328">
        <f t="shared" si="41"/>
        <v>0</v>
      </c>
      <c r="X115" s="328">
        <f t="shared" si="42"/>
        <v>0</v>
      </c>
      <c r="Y115" s="328">
        <f t="shared" si="58"/>
        <v>0</v>
      </c>
      <c r="Z115" s="328">
        <f t="shared" si="59"/>
        <v>0</v>
      </c>
      <c r="AA115" s="328"/>
      <c r="AB115" s="352" t="s">
        <v>277</v>
      </c>
    </row>
    <row r="116" spans="1:30" ht="13.15" thickBot="1" x14ac:dyDescent="0.4">
      <c r="A116" s="295" t="s">
        <v>87</v>
      </c>
      <c r="B116" s="296" t="s">
        <v>703</v>
      </c>
      <c r="C116" s="297" t="s">
        <v>705</v>
      </c>
      <c r="D116" s="737"/>
      <c r="E116" s="43"/>
      <c r="F116" s="725"/>
      <c r="G116" s="728"/>
      <c r="H116" s="725"/>
      <c r="I116" s="737"/>
      <c r="J116" s="262">
        <v>43482</v>
      </c>
      <c r="K116" s="262">
        <v>43466</v>
      </c>
      <c r="L116" s="255"/>
      <c r="M116" s="389" t="s">
        <v>113</v>
      </c>
      <c r="N116" s="255">
        <f t="shared" si="55"/>
        <v>0</v>
      </c>
      <c r="O116" s="441"/>
      <c r="P116" s="252">
        <v>0.66</v>
      </c>
      <c r="Q116" s="252">
        <f t="shared" si="56"/>
        <v>0.33999999999999997</v>
      </c>
      <c r="R116" s="253">
        <f t="shared" si="63"/>
        <v>0</v>
      </c>
      <c r="S116" s="253">
        <f t="shared" si="63"/>
        <v>0</v>
      </c>
      <c r="T116" s="725"/>
      <c r="U116" s="262">
        <v>43830</v>
      </c>
      <c r="V116" s="255">
        <f t="shared" si="57"/>
        <v>0</v>
      </c>
      <c r="W116" s="256">
        <f t="shared" si="41"/>
        <v>0</v>
      </c>
      <c r="X116" s="256">
        <f t="shared" si="42"/>
        <v>0</v>
      </c>
      <c r="Y116" s="256">
        <f t="shared" si="58"/>
        <v>0</v>
      </c>
      <c r="Z116" s="256">
        <f t="shared" si="59"/>
        <v>0</v>
      </c>
      <c r="AA116" s="256"/>
      <c r="AB116" s="263" t="s">
        <v>277</v>
      </c>
    </row>
    <row r="117" spans="1:30" x14ac:dyDescent="0.35">
      <c r="A117" s="278" t="s">
        <v>89</v>
      </c>
      <c r="B117" s="314" t="s">
        <v>586</v>
      </c>
      <c r="C117" s="315" t="s">
        <v>588</v>
      </c>
      <c r="D117" s="735" t="s">
        <v>176</v>
      </c>
      <c r="E117" s="44"/>
      <c r="F117" s="723" t="s">
        <v>113</v>
      </c>
      <c r="G117" s="726" t="s">
        <v>62</v>
      </c>
      <c r="H117" s="723" t="s">
        <v>71</v>
      </c>
      <c r="I117" s="735" t="s">
        <v>304</v>
      </c>
      <c r="J117" s="240">
        <v>42753</v>
      </c>
      <c r="K117" s="240">
        <v>42736</v>
      </c>
      <c r="L117" s="241"/>
      <c r="M117" s="388" t="s">
        <v>113</v>
      </c>
      <c r="N117" s="241">
        <f t="shared" si="55"/>
        <v>0</v>
      </c>
      <c r="O117" s="440"/>
      <c r="P117" s="238">
        <v>0.66</v>
      </c>
      <c r="Q117" s="238">
        <f>1-P117</f>
        <v>0.33999999999999997</v>
      </c>
      <c r="R117" s="239">
        <f t="shared" si="63"/>
        <v>0</v>
      </c>
      <c r="S117" s="239">
        <f t="shared" si="63"/>
        <v>0</v>
      </c>
      <c r="T117" s="723" t="s">
        <v>590</v>
      </c>
      <c r="U117" s="240">
        <v>43100</v>
      </c>
      <c r="V117" s="241">
        <f t="shared" si="57"/>
        <v>0</v>
      </c>
      <c r="W117" s="242">
        <f t="shared" si="41"/>
        <v>0</v>
      </c>
      <c r="X117" s="242">
        <f t="shared" si="42"/>
        <v>0</v>
      </c>
      <c r="Y117" s="242">
        <f t="shared" si="58"/>
        <v>0</v>
      </c>
      <c r="Z117" s="242">
        <f t="shared" si="59"/>
        <v>0</v>
      </c>
      <c r="AA117" s="242"/>
      <c r="AB117" s="316" t="s">
        <v>410</v>
      </c>
    </row>
    <row r="118" spans="1:30" x14ac:dyDescent="0.35">
      <c r="A118" s="283" t="s">
        <v>89</v>
      </c>
      <c r="B118" s="326" t="s">
        <v>706</v>
      </c>
      <c r="C118" s="327" t="s">
        <v>708</v>
      </c>
      <c r="D118" s="736"/>
      <c r="E118" s="322"/>
      <c r="F118" s="724"/>
      <c r="G118" s="727"/>
      <c r="H118" s="724"/>
      <c r="I118" s="736"/>
      <c r="J118" s="259">
        <v>43129</v>
      </c>
      <c r="K118" s="259">
        <v>43101</v>
      </c>
      <c r="L118" s="260"/>
      <c r="M118" s="438" t="s">
        <v>113</v>
      </c>
      <c r="N118" s="260">
        <f t="shared" si="55"/>
        <v>0</v>
      </c>
      <c r="O118" s="436"/>
      <c r="P118" s="258">
        <v>0.66</v>
      </c>
      <c r="Q118" s="258">
        <f t="shared" ref="Q118" si="67">1-P118</f>
        <v>0.33999999999999997</v>
      </c>
      <c r="R118" s="435">
        <f t="shared" ref="R118" si="68">$N118*P118/($P118+$Q118)</f>
        <v>0</v>
      </c>
      <c r="S118" s="435">
        <f t="shared" ref="S118" si="69">$N118*Q118/($P118+$Q118)</f>
        <v>0</v>
      </c>
      <c r="T118" s="724"/>
      <c r="U118" s="259">
        <v>43465</v>
      </c>
      <c r="V118" s="260">
        <f t="shared" si="57"/>
        <v>0</v>
      </c>
      <c r="W118" s="328">
        <f t="shared" si="41"/>
        <v>0</v>
      </c>
      <c r="X118" s="328">
        <f t="shared" si="42"/>
        <v>0</v>
      </c>
      <c r="Y118" s="328">
        <f t="shared" si="58"/>
        <v>0</v>
      </c>
      <c r="Z118" s="328">
        <f t="shared" si="59"/>
        <v>0</v>
      </c>
      <c r="AA118" s="328"/>
      <c r="AB118" s="352" t="s">
        <v>277</v>
      </c>
    </row>
    <row r="119" spans="1:30" ht="13.15" thickBot="1" x14ac:dyDescent="0.4">
      <c r="A119" s="295" t="s">
        <v>87</v>
      </c>
      <c r="B119" s="296" t="s">
        <v>707</v>
      </c>
      <c r="C119" s="297" t="s">
        <v>709</v>
      </c>
      <c r="D119" s="737"/>
      <c r="E119" s="43"/>
      <c r="F119" s="725"/>
      <c r="G119" s="728"/>
      <c r="H119" s="725"/>
      <c r="I119" s="737"/>
      <c r="J119" s="262">
        <v>43482</v>
      </c>
      <c r="K119" s="262">
        <v>43466</v>
      </c>
      <c r="L119" s="255"/>
      <c r="M119" s="389" t="s">
        <v>113</v>
      </c>
      <c r="N119" s="255">
        <f t="shared" si="55"/>
        <v>0</v>
      </c>
      <c r="O119" s="441"/>
      <c r="P119" s="252">
        <v>0.66</v>
      </c>
      <c r="Q119" s="252">
        <f t="shared" si="56"/>
        <v>0.33999999999999997</v>
      </c>
      <c r="R119" s="253">
        <f t="shared" si="63"/>
        <v>0</v>
      </c>
      <c r="S119" s="253">
        <f t="shared" si="63"/>
        <v>0</v>
      </c>
      <c r="T119" s="725"/>
      <c r="U119" s="262">
        <v>43830</v>
      </c>
      <c r="V119" s="255">
        <f t="shared" si="57"/>
        <v>0</v>
      </c>
      <c r="W119" s="256">
        <f t="shared" si="41"/>
        <v>0</v>
      </c>
      <c r="X119" s="256">
        <f t="shared" si="42"/>
        <v>0</v>
      </c>
      <c r="Y119" s="256">
        <f t="shared" si="58"/>
        <v>0</v>
      </c>
      <c r="Z119" s="256">
        <f t="shared" si="59"/>
        <v>0</v>
      </c>
      <c r="AA119" s="256"/>
      <c r="AB119" s="263" t="s">
        <v>277</v>
      </c>
    </row>
    <row r="120" spans="1:30" s="317" customFormat="1" ht="21" customHeight="1" thickBot="1" x14ac:dyDescent="0.45">
      <c r="A120" s="718" t="s">
        <v>466</v>
      </c>
      <c r="B120" s="719"/>
      <c r="C120" s="720"/>
      <c r="D120" s="721"/>
      <c r="E120" s="721"/>
      <c r="F120" s="721"/>
      <c r="G120" s="721"/>
      <c r="H120" s="721"/>
      <c r="I120" s="721"/>
      <c r="J120" s="721"/>
      <c r="K120" s="721"/>
      <c r="L120" s="721"/>
      <c r="M120" s="722"/>
      <c r="N120" s="265"/>
      <c r="O120" s="266"/>
      <c r="P120" s="264"/>
      <c r="Q120" s="264"/>
      <c r="R120" s="265"/>
      <c r="S120" s="265"/>
      <c r="T120" s="266"/>
      <c r="U120" s="266"/>
      <c r="V120" s="265"/>
      <c r="W120" s="265"/>
      <c r="X120" s="265"/>
      <c r="Y120" s="265"/>
      <c r="Z120" s="265"/>
      <c r="AA120" s="330"/>
      <c r="AB120" s="267"/>
    </row>
    <row r="122" spans="1:30" ht="13.15" thickBot="1" x14ac:dyDescent="0.4"/>
    <row r="123" spans="1:30" x14ac:dyDescent="0.35">
      <c r="A123" s="318" t="s">
        <v>89</v>
      </c>
      <c r="B123" s="314" t="s">
        <v>206</v>
      </c>
      <c r="C123" s="315" t="s">
        <v>271</v>
      </c>
      <c r="D123" s="729" t="s">
        <v>172</v>
      </c>
      <c r="E123" s="44"/>
      <c r="F123" s="723" t="s">
        <v>113</v>
      </c>
      <c r="G123" s="726" t="s">
        <v>62</v>
      </c>
      <c r="H123" s="723" t="s">
        <v>71</v>
      </c>
      <c r="I123" s="726" t="s">
        <v>304</v>
      </c>
      <c r="J123" s="240">
        <v>40603</v>
      </c>
      <c r="K123" s="240">
        <v>40603</v>
      </c>
      <c r="L123" s="241"/>
      <c r="M123" s="240" t="s">
        <v>113</v>
      </c>
      <c r="N123" s="241"/>
      <c r="O123" s="440"/>
      <c r="P123" s="238">
        <v>1</v>
      </c>
      <c r="Q123" s="238">
        <f t="shared" ref="Q123:Q136" si="70">1-P123</f>
        <v>0</v>
      </c>
      <c r="R123" s="239">
        <f t="shared" ref="R123:S136" si="71">$N123*P123/($P123+$Q123)</f>
        <v>0</v>
      </c>
      <c r="S123" s="239">
        <f t="shared" si="71"/>
        <v>0</v>
      </c>
      <c r="T123" s="723" t="s">
        <v>184</v>
      </c>
      <c r="U123" s="240">
        <f>K123+365-30</f>
        <v>40938</v>
      </c>
      <c r="V123" s="241"/>
      <c r="W123" s="242">
        <f t="shared" ref="W123:W138" si="72">V123*P123</f>
        <v>0</v>
      </c>
      <c r="X123" s="242">
        <f>Q123*V123</f>
        <v>0</v>
      </c>
      <c r="Y123" s="242"/>
      <c r="Z123" s="242">
        <f t="shared" ref="Z123:Z127" si="73">S123-X123</f>
        <v>0</v>
      </c>
      <c r="AA123" s="242"/>
      <c r="AB123" s="316"/>
    </row>
    <row r="124" spans="1:30" x14ac:dyDescent="0.35">
      <c r="A124" s="319" t="s">
        <v>89</v>
      </c>
      <c r="B124" s="284" t="s">
        <v>207</v>
      </c>
      <c r="C124" s="285" t="s">
        <v>272</v>
      </c>
      <c r="D124" s="730"/>
      <c r="E124" s="42"/>
      <c r="F124" s="724"/>
      <c r="G124" s="727"/>
      <c r="H124" s="724"/>
      <c r="I124" s="727"/>
      <c r="J124" s="222">
        <v>40940</v>
      </c>
      <c r="K124" s="222">
        <v>40940</v>
      </c>
      <c r="L124" s="224"/>
      <c r="M124" s="226" t="s">
        <v>113</v>
      </c>
      <c r="N124" s="224"/>
      <c r="O124" s="227"/>
      <c r="P124" s="244">
        <v>1</v>
      </c>
      <c r="Q124" s="244">
        <f t="shared" si="70"/>
        <v>0</v>
      </c>
      <c r="R124" s="236">
        <f t="shared" si="71"/>
        <v>0</v>
      </c>
      <c r="S124" s="236">
        <f t="shared" si="71"/>
        <v>0</v>
      </c>
      <c r="T124" s="724"/>
      <c r="U124" s="222">
        <v>41274</v>
      </c>
      <c r="V124" s="224"/>
      <c r="W124" s="245">
        <f t="shared" si="72"/>
        <v>0</v>
      </c>
      <c r="X124" s="245">
        <f>Q124*V124</f>
        <v>0</v>
      </c>
      <c r="Y124" s="245"/>
      <c r="Z124" s="245">
        <f t="shared" si="73"/>
        <v>0</v>
      </c>
      <c r="AA124" s="245"/>
      <c r="AB124" s="293" t="s">
        <v>277</v>
      </c>
    </row>
    <row r="125" spans="1:30" x14ac:dyDescent="0.35">
      <c r="A125" s="319" t="s">
        <v>89</v>
      </c>
      <c r="B125" s="284" t="s">
        <v>226</v>
      </c>
      <c r="C125" s="285" t="s">
        <v>273</v>
      </c>
      <c r="D125" s="730"/>
      <c r="E125" s="42"/>
      <c r="F125" s="724"/>
      <c r="G125" s="727"/>
      <c r="H125" s="724"/>
      <c r="I125" s="727"/>
      <c r="J125" s="222">
        <v>41275</v>
      </c>
      <c r="K125" s="222">
        <v>41275</v>
      </c>
      <c r="L125" s="224"/>
      <c r="M125" s="226" t="s">
        <v>113</v>
      </c>
      <c r="N125" s="224"/>
      <c r="O125" s="227"/>
      <c r="P125" s="244">
        <v>1</v>
      </c>
      <c r="Q125" s="244">
        <f t="shared" si="70"/>
        <v>0</v>
      </c>
      <c r="R125" s="236">
        <f t="shared" si="71"/>
        <v>0</v>
      </c>
      <c r="S125" s="236">
        <f t="shared" si="71"/>
        <v>0</v>
      </c>
      <c r="T125" s="724"/>
      <c r="U125" s="226">
        <v>41608</v>
      </c>
      <c r="V125" s="224"/>
      <c r="W125" s="245">
        <f t="shared" si="72"/>
        <v>0</v>
      </c>
      <c r="X125" s="245">
        <f>Q125*V125</f>
        <v>0</v>
      </c>
      <c r="Y125" s="245"/>
      <c r="Z125" s="245">
        <f t="shared" si="73"/>
        <v>0</v>
      </c>
      <c r="AA125" s="245"/>
      <c r="AB125" s="293" t="s">
        <v>277</v>
      </c>
    </row>
    <row r="126" spans="1:30" x14ac:dyDescent="0.35">
      <c r="A126" s="319" t="s">
        <v>89</v>
      </c>
      <c r="B126" s="288" t="s">
        <v>312</v>
      </c>
      <c r="C126" s="225" t="s">
        <v>313</v>
      </c>
      <c r="D126" s="730"/>
      <c r="E126" s="42"/>
      <c r="F126" s="724"/>
      <c r="G126" s="727"/>
      <c r="H126" s="724"/>
      <c r="I126" s="727"/>
      <c r="J126" s="222">
        <v>41609</v>
      </c>
      <c r="K126" s="222">
        <v>41609</v>
      </c>
      <c r="L126" s="224"/>
      <c r="M126" s="226" t="s">
        <v>113</v>
      </c>
      <c r="N126" s="224"/>
      <c r="O126" s="227"/>
      <c r="P126" s="244">
        <v>1</v>
      </c>
      <c r="Q126" s="244">
        <f t="shared" si="70"/>
        <v>0</v>
      </c>
      <c r="R126" s="236">
        <f t="shared" si="71"/>
        <v>0</v>
      </c>
      <c r="S126" s="236">
        <f t="shared" si="71"/>
        <v>0</v>
      </c>
      <c r="T126" s="724"/>
      <c r="U126" s="226">
        <v>41942</v>
      </c>
      <c r="V126" s="224"/>
      <c r="W126" s="245">
        <f t="shared" si="72"/>
        <v>0</v>
      </c>
      <c r="X126" s="245">
        <f>Q126*V126</f>
        <v>0</v>
      </c>
      <c r="Y126" s="245"/>
      <c r="Z126" s="245">
        <f t="shared" si="73"/>
        <v>0</v>
      </c>
      <c r="AA126" s="245"/>
      <c r="AB126" s="293" t="s">
        <v>277</v>
      </c>
      <c r="AC126" s="294"/>
    </row>
    <row r="127" spans="1:30" x14ac:dyDescent="0.35">
      <c r="A127" s="320" t="s">
        <v>89</v>
      </c>
      <c r="B127" s="291" t="s">
        <v>442</v>
      </c>
      <c r="C127" s="292" t="s">
        <v>443</v>
      </c>
      <c r="D127" s="730"/>
      <c r="E127" s="228"/>
      <c r="F127" s="724"/>
      <c r="G127" s="727"/>
      <c r="H127" s="724"/>
      <c r="I127" s="727"/>
      <c r="J127" s="289">
        <v>41955</v>
      </c>
      <c r="K127" s="289">
        <v>41944</v>
      </c>
      <c r="L127" s="249"/>
      <c r="M127" s="290" t="s">
        <v>113</v>
      </c>
      <c r="N127" s="249"/>
      <c r="O127" s="277"/>
      <c r="P127" s="247">
        <v>1</v>
      </c>
      <c r="Q127" s="247">
        <f>1-P127</f>
        <v>0</v>
      </c>
      <c r="R127" s="434">
        <f t="shared" ref="R127:S130" si="74">$N127*P127/($P127+$Q127)</f>
        <v>0</v>
      </c>
      <c r="S127" s="434">
        <f t="shared" si="74"/>
        <v>0</v>
      </c>
      <c r="T127" s="724"/>
      <c r="U127" s="290">
        <v>42277</v>
      </c>
      <c r="V127" s="249"/>
      <c r="W127" s="250">
        <f t="shared" si="72"/>
        <v>0</v>
      </c>
      <c r="X127" s="250">
        <f>Q127*V127</f>
        <v>0</v>
      </c>
      <c r="Y127" s="250"/>
      <c r="Z127" s="250">
        <f t="shared" si="73"/>
        <v>0</v>
      </c>
      <c r="AA127" s="250"/>
      <c r="AB127" s="323" t="s">
        <v>277</v>
      </c>
      <c r="AC127" s="294"/>
      <c r="AD127" s="294"/>
    </row>
    <row r="128" spans="1:30" x14ac:dyDescent="0.35">
      <c r="A128" s="320" t="s">
        <v>89</v>
      </c>
      <c r="B128" s="291" t="s">
        <v>532</v>
      </c>
      <c r="C128" s="292" t="s">
        <v>533</v>
      </c>
      <c r="D128" s="730"/>
      <c r="E128" s="228"/>
      <c r="F128" s="724"/>
      <c r="G128" s="727"/>
      <c r="H128" s="724"/>
      <c r="I128" s="727"/>
      <c r="J128" s="289">
        <f>K128</f>
        <v>42278</v>
      </c>
      <c r="K128" s="289">
        <v>42278</v>
      </c>
      <c r="L128" s="249"/>
      <c r="M128" s="290" t="s">
        <v>113</v>
      </c>
      <c r="N128" s="249"/>
      <c r="O128" s="277"/>
      <c r="P128" s="247">
        <v>1</v>
      </c>
      <c r="Q128" s="247">
        <f>1-P128</f>
        <v>0</v>
      </c>
      <c r="R128" s="434">
        <f t="shared" si="74"/>
        <v>0</v>
      </c>
      <c r="S128" s="434">
        <f t="shared" si="74"/>
        <v>0</v>
      </c>
      <c r="T128" s="724"/>
      <c r="U128" s="290">
        <v>42613</v>
      </c>
      <c r="V128" s="249"/>
      <c r="W128" s="250">
        <f t="shared" si="72"/>
        <v>0</v>
      </c>
      <c r="X128" s="250"/>
      <c r="Y128" s="250"/>
      <c r="Z128" s="250"/>
      <c r="AA128" s="250"/>
      <c r="AB128" s="323" t="s">
        <v>277</v>
      </c>
      <c r="AC128" s="294"/>
      <c r="AD128" s="294"/>
    </row>
    <row r="129" spans="1:30" x14ac:dyDescent="0.35">
      <c r="A129" s="320" t="s">
        <v>89</v>
      </c>
      <c r="B129" s="291" t="s">
        <v>580</v>
      </c>
      <c r="C129" s="292" t="s">
        <v>581</v>
      </c>
      <c r="D129" s="730"/>
      <c r="E129" s="228"/>
      <c r="F129" s="724"/>
      <c r="G129" s="727"/>
      <c r="H129" s="724"/>
      <c r="I129" s="727"/>
      <c r="J129" s="289">
        <f>K129</f>
        <v>42614</v>
      </c>
      <c r="K129" s="289">
        <v>42614</v>
      </c>
      <c r="L129" s="249"/>
      <c r="M129" s="290" t="s">
        <v>113</v>
      </c>
      <c r="N129" s="249"/>
      <c r="O129" s="277"/>
      <c r="P129" s="247">
        <v>1</v>
      </c>
      <c r="Q129" s="247">
        <f>1-P129</f>
        <v>0</v>
      </c>
      <c r="R129" s="434">
        <f t="shared" si="74"/>
        <v>0</v>
      </c>
      <c r="S129" s="434">
        <f t="shared" si="74"/>
        <v>0</v>
      </c>
      <c r="T129" s="724"/>
      <c r="U129" s="290">
        <v>42947</v>
      </c>
      <c r="V129" s="249"/>
      <c r="W129" s="250">
        <f t="shared" si="72"/>
        <v>0</v>
      </c>
      <c r="X129" s="250">
        <f t="shared" ref="X129:X138" si="75">Q129*V129</f>
        <v>0</v>
      </c>
      <c r="Y129" s="250"/>
      <c r="Z129" s="250">
        <f t="shared" ref="Z129:Z131" si="76">S129-X129</f>
        <v>0</v>
      </c>
      <c r="AA129" s="250"/>
      <c r="AB129" s="323" t="s">
        <v>277</v>
      </c>
      <c r="AC129" s="294"/>
      <c r="AD129" s="294"/>
    </row>
    <row r="130" spans="1:30" x14ac:dyDescent="0.35">
      <c r="A130" s="320" t="s">
        <v>89</v>
      </c>
      <c r="B130" s="291" t="s">
        <v>626</v>
      </c>
      <c r="C130" s="292" t="s">
        <v>627</v>
      </c>
      <c r="D130" s="730"/>
      <c r="E130" s="228"/>
      <c r="F130" s="724"/>
      <c r="G130" s="727"/>
      <c r="H130" s="724"/>
      <c r="I130" s="727"/>
      <c r="J130" s="289">
        <f>K130</f>
        <v>42948</v>
      </c>
      <c r="K130" s="289">
        <v>42948</v>
      </c>
      <c r="L130" s="249"/>
      <c r="M130" s="290" t="s">
        <v>113</v>
      </c>
      <c r="N130" s="249"/>
      <c r="O130" s="277"/>
      <c r="P130" s="247">
        <v>1</v>
      </c>
      <c r="Q130" s="247">
        <f t="shared" ref="Q130" si="77">1-P130</f>
        <v>0</v>
      </c>
      <c r="R130" s="434">
        <f t="shared" si="74"/>
        <v>0</v>
      </c>
      <c r="S130" s="434">
        <f t="shared" si="74"/>
        <v>0</v>
      </c>
      <c r="T130" s="724"/>
      <c r="U130" s="290">
        <v>43281</v>
      </c>
      <c r="V130" s="249"/>
      <c r="W130" s="250">
        <f t="shared" si="72"/>
        <v>0</v>
      </c>
      <c r="X130" s="250">
        <f t="shared" si="75"/>
        <v>0</v>
      </c>
      <c r="Y130" s="250"/>
      <c r="Z130" s="250">
        <f t="shared" si="76"/>
        <v>0</v>
      </c>
      <c r="AA130" s="250"/>
      <c r="AB130" s="323" t="s">
        <v>277</v>
      </c>
      <c r="AC130" s="294"/>
      <c r="AD130" s="294"/>
    </row>
    <row r="131" spans="1:30" ht="13.15" thickBot="1" x14ac:dyDescent="0.4">
      <c r="A131" s="321" t="s">
        <v>87</v>
      </c>
      <c r="B131" s="296" t="s">
        <v>687</v>
      </c>
      <c r="C131" s="297" t="s">
        <v>627</v>
      </c>
      <c r="D131" s="731"/>
      <c r="E131" s="43"/>
      <c r="F131" s="725"/>
      <c r="G131" s="728"/>
      <c r="H131" s="725"/>
      <c r="I131" s="728"/>
      <c r="J131" s="262">
        <f>K131</f>
        <v>43282</v>
      </c>
      <c r="K131" s="262">
        <v>43282</v>
      </c>
      <c r="L131" s="255"/>
      <c r="M131" s="389" t="s">
        <v>113</v>
      </c>
      <c r="N131" s="255"/>
      <c r="O131" s="441"/>
      <c r="P131" s="252">
        <v>1</v>
      </c>
      <c r="Q131" s="252">
        <f t="shared" si="70"/>
        <v>0</v>
      </c>
      <c r="R131" s="253">
        <f t="shared" si="71"/>
        <v>0</v>
      </c>
      <c r="S131" s="253">
        <f t="shared" si="71"/>
        <v>0</v>
      </c>
      <c r="T131" s="725"/>
      <c r="U131" s="389">
        <v>43616</v>
      </c>
      <c r="V131" s="255"/>
      <c r="W131" s="256">
        <f t="shared" si="72"/>
        <v>0</v>
      </c>
      <c r="X131" s="256">
        <f t="shared" si="75"/>
        <v>0</v>
      </c>
      <c r="Y131" s="256"/>
      <c r="Z131" s="256">
        <f t="shared" si="76"/>
        <v>0</v>
      </c>
      <c r="AA131" s="256"/>
      <c r="AB131" s="263" t="s">
        <v>277</v>
      </c>
    </row>
    <row r="132" spans="1:30" x14ac:dyDescent="0.35">
      <c r="A132" s="278" t="s">
        <v>89</v>
      </c>
      <c r="B132" s="314" t="s">
        <v>268</v>
      </c>
      <c r="C132" s="315" t="s">
        <v>270</v>
      </c>
      <c r="D132" s="726" t="s">
        <v>279</v>
      </c>
      <c r="E132" s="44"/>
      <c r="F132" s="723" t="s">
        <v>113</v>
      </c>
      <c r="G132" s="726" t="s">
        <v>62</v>
      </c>
      <c r="H132" s="723" t="s">
        <v>71</v>
      </c>
      <c r="I132" s="726" t="s">
        <v>304</v>
      </c>
      <c r="J132" s="240">
        <v>41550</v>
      </c>
      <c r="K132" s="240">
        <v>41532</v>
      </c>
      <c r="L132" s="241"/>
      <c r="M132" s="388" t="s">
        <v>113</v>
      </c>
      <c r="N132" s="241"/>
      <c r="O132" s="440"/>
      <c r="P132" s="238">
        <v>1</v>
      </c>
      <c r="Q132" s="238">
        <f t="shared" si="70"/>
        <v>0</v>
      </c>
      <c r="R132" s="239">
        <f t="shared" si="71"/>
        <v>0</v>
      </c>
      <c r="S132" s="239">
        <f t="shared" si="71"/>
        <v>0</v>
      </c>
      <c r="T132" s="723" t="s">
        <v>269</v>
      </c>
      <c r="U132" s="240">
        <v>41865</v>
      </c>
      <c r="V132" s="241"/>
      <c r="W132" s="242">
        <f t="shared" si="72"/>
        <v>0</v>
      </c>
      <c r="X132" s="242">
        <f t="shared" si="75"/>
        <v>0</v>
      </c>
      <c r="Y132" s="242"/>
      <c r="Z132" s="242">
        <f t="shared" ref="Z132:Z138" si="78">S132-X132</f>
        <v>0</v>
      </c>
      <c r="AA132" s="242"/>
      <c r="AB132" s="257"/>
    </row>
    <row r="133" spans="1:30" x14ac:dyDescent="0.35">
      <c r="A133" s="283" t="s">
        <v>89</v>
      </c>
      <c r="B133" s="288" t="s">
        <v>434</v>
      </c>
      <c r="C133" s="225" t="s">
        <v>435</v>
      </c>
      <c r="D133" s="727"/>
      <c r="E133" s="322"/>
      <c r="F133" s="724"/>
      <c r="G133" s="727"/>
      <c r="H133" s="724"/>
      <c r="I133" s="727"/>
      <c r="J133" s="259">
        <v>41904</v>
      </c>
      <c r="K133" s="259">
        <v>41866</v>
      </c>
      <c r="L133" s="260"/>
      <c r="M133" s="226" t="s">
        <v>113</v>
      </c>
      <c r="N133" s="260"/>
      <c r="O133" s="436"/>
      <c r="P133" s="258">
        <v>1</v>
      </c>
      <c r="Q133" s="258">
        <f>1-P133</f>
        <v>0</v>
      </c>
      <c r="R133" s="435">
        <f>$N133*P133/($P133+$Q133)</f>
        <v>0</v>
      </c>
      <c r="S133" s="435">
        <f>$N133*Q133/($P133+$Q133)</f>
        <v>0</v>
      </c>
      <c r="T133" s="724"/>
      <c r="U133" s="259">
        <v>42199</v>
      </c>
      <c r="V133" s="224"/>
      <c r="W133" s="245">
        <f t="shared" si="72"/>
        <v>0</v>
      </c>
      <c r="X133" s="245">
        <f t="shared" si="75"/>
        <v>0</v>
      </c>
      <c r="Y133" s="245"/>
      <c r="Z133" s="224">
        <f t="shared" si="78"/>
        <v>0</v>
      </c>
      <c r="AA133" s="328"/>
      <c r="AB133" s="261" t="s">
        <v>277</v>
      </c>
      <c r="AC133" s="294"/>
      <c r="AD133" s="294"/>
    </row>
    <row r="134" spans="1:30" s="317" customFormat="1" ht="21" customHeight="1" x14ac:dyDescent="0.4">
      <c r="A134" s="283" t="s">
        <v>89</v>
      </c>
      <c r="B134" s="288" t="s">
        <v>534</v>
      </c>
      <c r="C134" s="225" t="s">
        <v>535</v>
      </c>
      <c r="D134" s="727"/>
      <c r="E134" s="42"/>
      <c r="F134" s="724"/>
      <c r="G134" s="727"/>
      <c r="H134" s="724"/>
      <c r="I134" s="727"/>
      <c r="J134" s="222">
        <f>K134</f>
        <v>42200</v>
      </c>
      <c r="K134" s="222">
        <v>42200</v>
      </c>
      <c r="L134" s="224"/>
      <c r="M134" s="226" t="s">
        <v>113</v>
      </c>
      <c r="N134" s="224"/>
      <c r="O134" s="227"/>
      <c r="P134" s="244">
        <v>1</v>
      </c>
      <c r="Q134" s="244">
        <f>1-P134</f>
        <v>0</v>
      </c>
      <c r="R134" s="236">
        <f>$N134*P134/($P134+$Q134)</f>
        <v>0</v>
      </c>
      <c r="S134" s="236">
        <f>$N134*Q134/($P134+$Q134)</f>
        <v>0</v>
      </c>
      <c r="T134" s="724"/>
      <c r="U134" s="222">
        <v>42535</v>
      </c>
      <c r="V134" s="224"/>
      <c r="W134" s="245">
        <f t="shared" si="72"/>
        <v>0</v>
      </c>
      <c r="X134" s="245">
        <f t="shared" si="75"/>
        <v>0</v>
      </c>
      <c r="Y134" s="245"/>
      <c r="Z134" s="224">
        <f t="shared" si="78"/>
        <v>0</v>
      </c>
      <c r="AA134" s="245"/>
      <c r="AB134" s="324" t="s">
        <v>277</v>
      </c>
    </row>
    <row r="135" spans="1:30" s="317" customFormat="1" ht="27.75" customHeight="1" thickBot="1" x14ac:dyDescent="0.45">
      <c r="A135" s="295" t="s">
        <v>89</v>
      </c>
      <c r="B135" s="296" t="s">
        <v>582</v>
      </c>
      <c r="C135" s="297" t="s">
        <v>583</v>
      </c>
      <c r="D135" s="728"/>
      <c r="E135" s="43"/>
      <c r="F135" s="725"/>
      <c r="G135" s="728"/>
      <c r="H135" s="725"/>
      <c r="I135" s="728"/>
      <c r="J135" s="262">
        <f>K135</f>
        <v>42536</v>
      </c>
      <c r="K135" s="262">
        <v>42536</v>
      </c>
      <c r="L135" s="255"/>
      <c r="M135" s="389" t="s">
        <v>113</v>
      </c>
      <c r="N135" s="255"/>
      <c r="O135" s="441"/>
      <c r="P135" s="252">
        <v>1</v>
      </c>
      <c r="Q135" s="252">
        <f>1-P135</f>
        <v>0</v>
      </c>
      <c r="R135" s="253">
        <f>$N135*P135/($P135+$Q135)</f>
        <v>0</v>
      </c>
      <c r="S135" s="253"/>
      <c r="T135" s="725"/>
      <c r="U135" s="262">
        <v>42869</v>
      </c>
      <c r="V135" s="255"/>
      <c r="W135" s="256">
        <f t="shared" si="72"/>
        <v>0</v>
      </c>
      <c r="X135" s="256">
        <f t="shared" si="75"/>
        <v>0</v>
      </c>
      <c r="Y135" s="256"/>
      <c r="Z135" s="256">
        <f t="shared" si="78"/>
        <v>0</v>
      </c>
      <c r="AA135" s="256"/>
      <c r="AB135" s="263" t="s">
        <v>622</v>
      </c>
    </row>
    <row r="136" spans="1:30" x14ac:dyDescent="0.35">
      <c r="A136" s="278" t="s">
        <v>89</v>
      </c>
      <c r="B136" s="388" t="s">
        <v>618</v>
      </c>
      <c r="C136" s="354" t="s">
        <v>619</v>
      </c>
      <c r="D136" s="732" t="s">
        <v>620</v>
      </c>
      <c r="E136" s="388"/>
      <c r="F136" s="723" t="s">
        <v>113</v>
      </c>
      <c r="G136" s="726" t="s">
        <v>62</v>
      </c>
      <c r="H136" s="723" t="s">
        <v>71</v>
      </c>
      <c r="I136" s="735" t="s">
        <v>304</v>
      </c>
      <c r="J136" s="388">
        <v>42826</v>
      </c>
      <c r="K136" s="240">
        <f>J136</f>
        <v>42826</v>
      </c>
      <c r="L136" s="241"/>
      <c r="M136" s="388" t="s">
        <v>113</v>
      </c>
      <c r="N136" s="241"/>
      <c r="O136" s="440"/>
      <c r="P136" s="238">
        <v>1</v>
      </c>
      <c r="Q136" s="238">
        <f t="shared" si="70"/>
        <v>0</v>
      </c>
      <c r="R136" s="239">
        <f t="shared" si="71"/>
        <v>0</v>
      </c>
      <c r="S136" s="239">
        <f t="shared" si="71"/>
        <v>0</v>
      </c>
      <c r="T136" s="732" t="s">
        <v>621</v>
      </c>
      <c r="U136" s="240">
        <v>43190</v>
      </c>
      <c r="V136" s="241"/>
      <c r="W136" s="242">
        <f t="shared" si="72"/>
        <v>0</v>
      </c>
      <c r="X136" s="242">
        <f t="shared" si="75"/>
        <v>0</v>
      </c>
      <c r="Y136" s="242"/>
      <c r="Z136" s="242">
        <f t="shared" si="78"/>
        <v>0</v>
      </c>
      <c r="AA136" s="242"/>
      <c r="AB136" s="316" t="s">
        <v>410</v>
      </c>
    </row>
    <row r="137" spans="1:30" x14ac:dyDescent="0.35">
      <c r="A137" s="320" t="s">
        <v>89</v>
      </c>
      <c r="B137" s="438" t="s">
        <v>649</v>
      </c>
      <c r="C137" s="395" t="s">
        <v>650</v>
      </c>
      <c r="D137" s="733"/>
      <c r="E137" s="438"/>
      <c r="F137" s="724"/>
      <c r="G137" s="727"/>
      <c r="H137" s="724"/>
      <c r="I137" s="736"/>
      <c r="J137" s="438">
        <v>43191</v>
      </c>
      <c r="K137" s="259">
        <f>J137</f>
        <v>43191</v>
      </c>
      <c r="L137" s="260"/>
      <c r="M137" s="438" t="s">
        <v>113</v>
      </c>
      <c r="N137" s="260"/>
      <c r="O137" s="436"/>
      <c r="P137" s="258">
        <v>1</v>
      </c>
      <c r="Q137" s="258">
        <f>1-P137</f>
        <v>0</v>
      </c>
      <c r="R137" s="435">
        <f>$N137*P137/($P137+$Q137)</f>
        <v>0</v>
      </c>
      <c r="S137" s="435">
        <f>$N137*Q137/($P137+$Q137)</f>
        <v>0</v>
      </c>
      <c r="T137" s="733"/>
      <c r="U137" s="259">
        <v>43524</v>
      </c>
      <c r="V137" s="260"/>
      <c r="W137" s="328">
        <f t="shared" si="72"/>
        <v>0</v>
      </c>
      <c r="X137" s="328">
        <f t="shared" si="75"/>
        <v>0</v>
      </c>
      <c r="Y137" s="328"/>
      <c r="Z137" s="328">
        <f t="shared" si="78"/>
        <v>0</v>
      </c>
      <c r="AA137" s="328"/>
      <c r="AB137" s="352" t="s">
        <v>277</v>
      </c>
    </row>
    <row r="138" spans="1:30" ht="13.15" thickBot="1" x14ac:dyDescent="0.4">
      <c r="A138" s="295" t="s">
        <v>87</v>
      </c>
      <c r="B138" s="389" t="s">
        <v>711</v>
      </c>
      <c r="C138" s="377" t="s">
        <v>710</v>
      </c>
      <c r="D138" s="734"/>
      <c r="E138" s="389"/>
      <c r="F138" s="725"/>
      <c r="G138" s="728"/>
      <c r="H138" s="725"/>
      <c r="I138" s="737"/>
      <c r="J138" s="389">
        <v>43525</v>
      </c>
      <c r="K138" s="262">
        <f>J138</f>
        <v>43525</v>
      </c>
      <c r="L138" s="255"/>
      <c r="M138" s="389" t="s">
        <v>113</v>
      </c>
      <c r="N138" s="255"/>
      <c r="O138" s="441"/>
      <c r="P138" s="252">
        <v>1</v>
      </c>
      <c r="Q138" s="252">
        <f>1-P138</f>
        <v>0</v>
      </c>
      <c r="R138" s="253">
        <f>$N138*P138/($P138+$Q138)</f>
        <v>0</v>
      </c>
      <c r="S138" s="253">
        <f>$N138*Q138/($P138+$Q138)</f>
        <v>0</v>
      </c>
      <c r="T138" s="734"/>
      <c r="U138" s="262">
        <v>43861</v>
      </c>
      <c r="V138" s="255"/>
      <c r="W138" s="256">
        <f t="shared" si="72"/>
        <v>0</v>
      </c>
      <c r="X138" s="256">
        <f t="shared" si="75"/>
        <v>0</v>
      </c>
      <c r="Y138" s="256"/>
      <c r="Z138" s="256">
        <f t="shared" si="78"/>
        <v>0</v>
      </c>
      <c r="AA138" s="256"/>
      <c r="AB138" s="263" t="s">
        <v>277</v>
      </c>
    </row>
    <row r="139" spans="1:30" ht="13.5" thickBot="1" x14ac:dyDescent="0.45">
      <c r="A139" s="718" t="s">
        <v>467</v>
      </c>
      <c r="B139" s="719"/>
      <c r="C139" s="720"/>
      <c r="D139" s="721"/>
      <c r="E139" s="721"/>
      <c r="F139" s="721"/>
      <c r="G139" s="721"/>
      <c r="H139" s="721"/>
      <c r="I139" s="721"/>
      <c r="J139" s="721"/>
      <c r="K139" s="721"/>
      <c r="L139" s="721"/>
      <c r="M139" s="722"/>
      <c r="N139" s="265">
        <f>SUM(N123:N138)</f>
        <v>0</v>
      </c>
      <c r="O139" s="266"/>
      <c r="P139" s="264"/>
      <c r="Q139" s="264"/>
      <c r="R139" s="265">
        <f>SUM(R123:R138)</f>
        <v>0</v>
      </c>
      <c r="S139" s="265">
        <f>SUM(S123:S136)</f>
        <v>0</v>
      </c>
      <c r="T139" s="266"/>
      <c r="U139" s="266"/>
      <c r="V139" s="265"/>
      <c r="W139" s="265">
        <f>SUM(W123:W138)</f>
        <v>0</v>
      </c>
      <c r="X139" s="265">
        <f>SUM(X123:X136)</f>
        <v>0</v>
      </c>
      <c r="Y139" s="265"/>
      <c r="Z139" s="265">
        <f>SUM(Z123:Z136)</f>
        <v>0</v>
      </c>
      <c r="AA139" s="330"/>
      <c r="AB139" s="267"/>
    </row>
    <row r="141" spans="1:30" x14ac:dyDescent="0.35">
      <c r="N141" s="237"/>
    </row>
    <row r="142" spans="1:30" x14ac:dyDescent="0.35">
      <c r="W142" s="353"/>
    </row>
    <row r="144" spans="1:30" x14ac:dyDescent="0.35">
      <c r="N144" s="237"/>
    </row>
  </sheetData>
  <mergeCells count="122">
    <mergeCell ref="I117:I119"/>
    <mergeCell ref="H117:H119"/>
    <mergeCell ref="G117:G119"/>
    <mergeCell ref="F117:F119"/>
    <mergeCell ref="D117:D119"/>
    <mergeCell ref="G109:G113"/>
    <mergeCell ref="F109:F113"/>
    <mergeCell ref="F102:F108"/>
    <mergeCell ref="G102:G108"/>
    <mergeCell ref="I109:I113"/>
    <mergeCell ref="I114:I116"/>
    <mergeCell ref="H114:H116"/>
    <mergeCell ref="G114:G116"/>
    <mergeCell ref="D109:D113"/>
    <mergeCell ref="F114:F116"/>
    <mergeCell ref="D114:D116"/>
    <mergeCell ref="D102:D108"/>
    <mergeCell ref="D49:D56"/>
    <mergeCell ref="F67:F75"/>
    <mergeCell ref="G57:G58"/>
    <mergeCell ref="D67:D75"/>
    <mergeCell ref="D76:D83"/>
    <mergeCell ref="D59:D66"/>
    <mergeCell ref="D94:D101"/>
    <mergeCell ref="D30:D35"/>
    <mergeCell ref="D57:D58"/>
    <mergeCell ref="G49:G56"/>
    <mergeCell ref="D36:D44"/>
    <mergeCell ref="F36:F44"/>
    <mergeCell ref="F49:F56"/>
    <mergeCell ref="F94:F101"/>
    <mergeCell ref="F57:F58"/>
    <mergeCell ref="F59:F66"/>
    <mergeCell ref="G59:G66"/>
    <mergeCell ref="D85:D93"/>
    <mergeCell ref="G94:G101"/>
    <mergeCell ref="G76:G83"/>
    <mergeCell ref="F76:F83"/>
    <mergeCell ref="G85:G93"/>
    <mergeCell ref="F85:F93"/>
    <mergeCell ref="G6:G17"/>
    <mergeCell ref="I23:I29"/>
    <mergeCell ref="H23:H29"/>
    <mergeCell ref="I18:I22"/>
    <mergeCell ref="D23:D29"/>
    <mergeCell ref="D45:D48"/>
    <mergeCell ref="F45:F48"/>
    <mergeCell ref="G36:G44"/>
    <mergeCell ref="G30:G35"/>
    <mergeCell ref="F30:F35"/>
    <mergeCell ref="D6:D17"/>
    <mergeCell ref="H18:H22"/>
    <mergeCell ref="G18:G22"/>
    <mergeCell ref="F18:F22"/>
    <mergeCell ref="D18:D22"/>
    <mergeCell ref="G45:G48"/>
    <mergeCell ref="F6:F17"/>
    <mergeCell ref="G23:G29"/>
    <mergeCell ref="F23:F29"/>
    <mergeCell ref="I30:I35"/>
    <mergeCell ref="H30:H35"/>
    <mergeCell ref="I36:I44"/>
    <mergeCell ref="H36:H44"/>
    <mergeCell ref="I57:I58"/>
    <mergeCell ref="H57:H58"/>
    <mergeCell ref="I59:I66"/>
    <mergeCell ref="I67:I75"/>
    <mergeCell ref="H67:H75"/>
    <mergeCell ref="H109:H113"/>
    <mergeCell ref="I85:I93"/>
    <mergeCell ref="H85:H93"/>
    <mergeCell ref="G67:G75"/>
    <mergeCell ref="H94:H101"/>
    <mergeCell ref="I94:I101"/>
    <mergeCell ref="H76:H83"/>
    <mergeCell ref="I76:I83"/>
    <mergeCell ref="I102:I108"/>
    <mergeCell ref="H102:H108"/>
    <mergeCell ref="I49:I56"/>
    <mergeCell ref="H49:H56"/>
    <mergeCell ref="H45:H48"/>
    <mergeCell ref="I45:I48"/>
    <mergeCell ref="I6:I17"/>
    <mergeCell ref="H6:H17"/>
    <mergeCell ref="T117:T119"/>
    <mergeCell ref="T102:T108"/>
    <mergeCell ref="T109:T113"/>
    <mergeCell ref="T114:T116"/>
    <mergeCell ref="T18:T22"/>
    <mergeCell ref="T6:T17"/>
    <mergeCell ref="T94:T101"/>
    <mergeCell ref="T85:T93"/>
    <mergeCell ref="T76:T83"/>
    <mergeCell ref="T67:T75"/>
    <mergeCell ref="T59:T66"/>
    <mergeCell ref="T49:T56"/>
    <mergeCell ref="T23:T29"/>
    <mergeCell ref="T30:T35"/>
    <mergeCell ref="T45:T48"/>
    <mergeCell ref="T36:T44"/>
    <mergeCell ref="T57:T58"/>
    <mergeCell ref="H59:H66"/>
    <mergeCell ref="A120:M120"/>
    <mergeCell ref="A139:M139"/>
    <mergeCell ref="T123:T131"/>
    <mergeCell ref="H123:H131"/>
    <mergeCell ref="I123:I131"/>
    <mergeCell ref="D123:D131"/>
    <mergeCell ref="F123:F131"/>
    <mergeCell ref="G123:G131"/>
    <mergeCell ref="T132:T135"/>
    <mergeCell ref="I132:I135"/>
    <mergeCell ref="H132:H135"/>
    <mergeCell ref="G132:G135"/>
    <mergeCell ref="F132:F135"/>
    <mergeCell ref="D132:D135"/>
    <mergeCell ref="D136:D138"/>
    <mergeCell ref="T136:T138"/>
    <mergeCell ref="F136:F138"/>
    <mergeCell ref="G136:G138"/>
    <mergeCell ref="H136:H138"/>
    <mergeCell ref="I136:I138"/>
  </mergeCells>
  <printOptions horizontalCentered="1"/>
  <pageMargins left="0.74803149606299213" right="0.74803149606299213" top="0.27559055118110237" bottom="0.35433070866141736" header="0.11811023622047245" footer="0.27559055118110237"/>
  <pageSetup paperSize="8" scale="50" fitToHeight="0" orientation="landscape" r:id="rId1"/>
  <headerFooter alignWithMargins="0">
    <oddHeader>&amp;C&amp;"Times New Roman,Bold"&amp;18PROJECT MANAGEMENT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Alain Camille Barakat</SubmittedBy>
    <OtherTitle xmlns="ee363e03-ffe3-4ea8-891f-7c22e1e48952" xsi:nil="true"/>
    <InformationClassification xmlns="d6267e6a-bf3f-4308-983a-8e32ad3cd070">Public</InformationClassification>
    <AccesstoInformationPolicyException xmlns="d6267e6a-bf3f-4308-983a-8e32ad3cd070">Deliberative,</AccesstoInformationPolicyException>
    <DateSubmission xmlns="d6267e6a-bf3f-4308-983a-8e32ad3cd070">5/20/2019</DateSubmission>
    <IsIduRevised xmlns="ee363e03-ffe3-4ea8-891f-7c22e1e48952">No</IsIduRevised>
    <ReportNumber xmlns="d6267e6a-bf3f-4308-983a-8e32ad3cd070" xsi:nil="true"/>
    <Comment1 xmlns="d6267e6a-bf3f-4308-983a-8e32ad3cd070" xsi:nil="true"/>
    <IsitpartofaSeries xmlns="d6267e6a-bf3f-4308-983a-8e32ad3cd070">No</IsitpartofaSeries>
    <Languages xmlns="d6267e6a-bf3f-4308-983a-8e32ad3cd070">English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GBWSPModelProcurementPlanEndMarchout.xlsx</DocumentName>
    <PublicClassificationApprover xmlns="ee363e03-ffe3-4ea8-891f-7c22e1e48952">sfotovat@worldbank.org</PublicClassificationApprover>
    <SendMail xmlns="d6267e6a-bf3f-4308-983a-8e32ad3cd070">abarakat@worldbank.org</SendMail>
    <ProjectIDNumber xmlns="d6267e6a-bf3f-4308-983a-8e32ad3cd070">P103063 - Greater Beirut Water Supply Project</ProjectIDNumber>
    <UserSubmittedAbstract xmlns="d6267e6a-bf3f-4308-983a-8e32ad3cd0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12" ma:contentTypeDescription="Document Submission Content Type" ma:contentTypeScope="" ma:versionID="f80bfdc489b3b0267876a6f134456c17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637a0c95cda78ce70920e6b9e7c2580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  <xsd:element ref="ns3:OtherTitle" minOccurs="0"/>
                <xsd:element ref="ns3:IsIduRevised" minOccurs="0"/>
                <xsd:element ref="ns3:PublicClassification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  <xsd:element name="OtherTitle" ma:index="21" nillable="true" ma:displayName="OtherTitle" ma:internalName="OtherTitle">
      <xsd:simpleType>
        <xsd:restriction base="dms:Text">
          <xsd:maxLength value="255"/>
        </xsd:restriction>
      </xsd:simpleType>
    </xsd:element>
    <xsd:element name="IsIduRevised" ma:index="22" nillable="true" ma:displayName="IsIduRevised" ma:internalName="IsIduRevised">
      <xsd:simpleType>
        <xsd:restriction base="dms:Text">
          <xsd:maxLength value="255"/>
        </xsd:restriction>
      </xsd:simpleType>
    </xsd:element>
    <xsd:element name="PublicClassificationApprover" ma:index="23" nillable="true" ma:displayName="Public Classification Approver" ma:internalName="PublicClassificationApprov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D13C0-F9B0-4241-84AB-89D869225369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e363e03-ffe3-4ea8-891f-7c22e1e48952"/>
    <ds:schemaRef ds:uri="d6267e6a-bf3f-4308-983a-8e32ad3cd070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DCC5DA-0746-4257-BCDA-2FE61C0AFE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CD86EF-5025-4D8E-A700-B4069A927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21</vt:i4>
      </vt:variant>
    </vt:vector>
  </HeadingPairs>
  <TitlesOfParts>
    <vt:vector size="31" baseType="lpstr">
      <vt:lpstr>Settings</vt:lpstr>
      <vt:lpstr>General</vt:lpstr>
      <vt:lpstr>Grand Summary</vt:lpstr>
      <vt:lpstr>Detailed Summary</vt:lpstr>
      <vt:lpstr>Summary financial-physical %</vt:lpstr>
      <vt:lpstr>Goods and WorksPP</vt:lpstr>
      <vt:lpstr>Consulting ServicesPP</vt:lpstr>
      <vt:lpstr>Operational CostPP</vt:lpstr>
      <vt:lpstr>PMUPP</vt:lpstr>
      <vt:lpstr>Capacity BuildingPP</vt:lpstr>
      <vt:lpstr>country</vt:lpstr>
      <vt:lpstr>fi</vt:lpstr>
      <vt:lpstr>gwncs</vt:lpstr>
      <vt:lpstr>lncr</vt:lpstr>
      <vt:lpstr>'Capacity BuildingPP'!Print_Area</vt:lpstr>
      <vt:lpstr>'Detailed Summary'!Print_Area</vt:lpstr>
      <vt:lpstr>General!Print_Area</vt:lpstr>
      <vt:lpstr>'Grand Summary'!Print_Area</vt:lpstr>
      <vt:lpstr>'Operational CostPP'!Print_Area</vt:lpstr>
      <vt:lpstr>'Summary financial-physical %'!Print_Area</vt:lpstr>
      <vt:lpstr>'Consulting ServicesPP'!Print_Titles</vt:lpstr>
      <vt:lpstr>'Detailed Summary'!Print_Titles</vt:lpstr>
      <vt:lpstr>'Goods and WorksPP'!Print_Titles</vt:lpstr>
      <vt:lpstr>'Grand Summary'!Print_Titles</vt:lpstr>
      <vt:lpstr>'Operational CostPP'!Print_Titles</vt:lpstr>
      <vt:lpstr>PMUPP!Print_Titles</vt:lpstr>
      <vt:lpstr>'Summary financial-physical %'!Print_Titles</vt:lpstr>
      <vt:lpstr>priorpost</vt:lpstr>
      <vt:lpstr>projectName</vt:lpstr>
      <vt:lpstr>projID</vt:lpstr>
      <vt:lpstr>yn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20_5_2019_15_53_37_GBWSPModelProcurementPlanEndMarchout.xlsx</dc:title>
  <dc:creator>Andrew A Jacobs</dc:creator>
  <cp:lastModifiedBy>Jhony Hari Masand</cp:lastModifiedBy>
  <cp:lastPrinted>2019-05-09T06:28:26Z</cp:lastPrinted>
  <dcterms:created xsi:type="dcterms:W3CDTF">2009-04-13T14:29:24Z</dcterms:created>
  <dcterms:modified xsi:type="dcterms:W3CDTF">2019-05-21T04:29:02Z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