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0" windowWidth="15228" windowHeight="1188" activeTab="1"/>
  </bookViews>
  <sheets>
    <sheet name="Procurement Plan Cover" sheetId="1" r:id="rId1"/>
    <sheet name="Procurement Tables ($)" sheetId="2" r:id="rId2"/>
    <sheet name="-" sheetId="3" r:id="rId3"/>
    <sheet name="Sayfa1" sheetId="4" r:id="rId4"/>
  </sheets>
  <externalReferences>
    <externalReference r:id="rId5"/>
    <externalReference r:id="rId6"/>
  </externalReferences>
  <definedNames>
    <definedName name="_xlnm.Print_Area" localSheetId="0">'Procurement Plan Cover'!$B$2:$K$95</definedName>
    <definedName name="_xlnm.Print_Area" localSheetId="1">'Procurement Tables ($)'!$A$1:$O$323</definedName>
    <definedName name="_xlnm.Print_Titles" localSheetId="1">'Procurement Tables ($)'!$1:$6</definedName>
    <definedName name="Z_3AB13850_701C_4820_AD57_684822783DA8_.wvu.PrintArea" localSheetId="0" hidden="1">'Procurement Plan Cover'!$B$2:$K$95</definedName>
    <definedName name="Z_3AB13850_701C_4820_AD57_684822783DA8_.wvu.PrintArea" localSheetId="1" hidden="1">'Procurement Tables ($)'!$A$1:$O$323</definedName>
    <definedName name="Z_3AB13850_701C_4820_AD57_684822783DA8_.wvu.PrintTitles" localSheetId="1" hidden="1">'Procurement Tables ($)'!$1:$6</definedName>
    <definedName name="Z_7A95F243_208B_446A_A9F7_7175CA517233_.wvu.Cols" localSheetId="1" hidden="1">'Procurement Tables ($)'!#REF!,'Procurement Tables ($)'!#REF!,'Procurement Tables ($)'!#REF!</definedName>
    <definedName name="Z_7A95F243_208B_446A_A9F7_7175CA517233_.wvu.PrintArea" localSheetId="0" hidden="1">'Procurement Plan Cover'!$B$2:$K$95</definedName>
    <definedName name="Z_7A95F243_208B_446A_A9F7_7175CA517233_.wvu.PrintArea" localSheetId="1" hidden="1">'Procurement Tables ($)'!$A$1:$O$329</definedName>
    <definedName name="Z_7A95F243_208B_446A_A9F7_7175CA517233_.wvu.PrintTitles" localSheetId="1" hidden="1">'Procurement Tables ($)'!$1:$6</definedName>
    <definedName name="Z_7A95F243_208B_446A_A9F7_7175CA517233_.wvu.Rows" localSheetId="1" hidden="1">'Procurement Tables ($)'!#REF!,'Procurement Tables ($)'!#REF!,'Procurement Tables ($)'!#REF!,'Procurement Tables ($)'!#REF!</definedName>
    <definedName name="Z_AE843321_E62A_4FB5_89CA_294B4C65B762_.wvu.PrintArea" localSheetId="0" hidden="1">'Procurement Plan Cover'!$B$2:$K$95</definedName>
    <definedName name="Z_AE843321_E62A_4FB5_89CA_294B4C65B762_.wvu.PrintArea" localSheetId="1" hidden="1">'Procurement Tables ($)'!$A$1:$O$323</definedName>
    <definedName name="Z_AE843321_E62A_4FB5_89CA_294B4C65B762_.wvu.PrintTitles" localSheetId="1" hidden="1">'Procurement Tables ($)'!$1:$6</definedName>
    <definedName name="Z_C18738E0_1B17_433A_8FC5_25913E085428_.wvu.Cols" localSheetId="1" hidden="1">'Procurement Tables ($)'!#REF!,'Procurement Tables ($)'!#REF!,'Procurement Tables ($)'!#REF!,'Procurement Tables ($)'!#REF!</definedName>
    <definedName name="Z_C18738E0_1B17_433A_8FC5_25913E085428_.wvu.PrintArea" localSheetId="0" hidden="1">'Procurement Plan Cover'!$B$2:$K$95</definedName>
    <definedName name="Z_C18738E0_1B17_433A_8FC5_25913E085428_.wvu.PrintArea" localSheetId="1" hidden="1">'Procurement Tables ($)'!$A$1:$O$329</definedName>
    <definedName name="Z_C18738E0_1B17_433A_8FC5_25913E085428_.wvu.PrintTitles" localSheetId="1" hidden="1">'Procurement Tables ($)'!$1:$6</definedName>
    <definedName name="Z_ECCB89A0_B2FD_43C6_AE6E_2A82A36F1CC0_.wvu.Cols" localSheetId="1" hidden="1">'Procurement Tables ($)'!#REF!,'Procurement Tables ($)'!#REF!,'Procurement Tables ($)'!#REF!,'Procurement Tables ($)'!#REF!,'Procurement Tables ($)'!$Q:$S</definedName>
    <definedName name="Z_ECCB89A0_B2FD_43C6_AE6E_2A82A36F1CC0_.wvu.PrintArea" localSheetId="0" hidden="1">'Procurement Plan Cover'!$B$2:$K$95</definedName>
    <definedName name="Z_ECCB89A0_B2FD_43C6_AE6E_2A82A36F1CC0_.wvu.PrintArea" localSheetId="1" hidden="1">'Procurement Tables ($)'!$A$1:$O$329</definedName>
    <definedName name="Z_ECCB89A0_B2FD_43C6_AE6E_2A82A36F1CC0_.wvu.PrintTitles" localSheetId="1" hidden="1">'Procurement Tables ($)'!$1:$6</definedName>
    <definedName name="Z_F1899CAA_DD89_4E8A_BDC1_328EE12130F5_.wvu.PrintArea" localSheetId="1" hidden="1">'Procurement Tables ($)'!$A$1:$O$318</definedName>
  </definedNames>
  <calcPr calcId="145621"/>
  <customWorkbookViews>
    <customWorkbookView name="Salih  Kemal Kalyoncu - Personal View" guid="{3AB13850-701C-4820-AD57-684822783DA8}" mergeInterval="0" personalView="1" maximized="1" windowWidth="1596" windowHeight="627" activeSheetId="1" showComments="commIndAndComment"/>
    <customWorkbookView name="nerdogan - Kişisel Görünüm" guid="{AE843321-E62A-4FB5-89CA-294B4C65B762}" mergeInterval="0" personalView="1" maximized="1" windowWidth="1916" windowHeight="822" activeSheetId="2"/>
    <customWorkbookView name="PLATIN - Kişisel Görünüm" guid="{7A95F243-208B-446A-A9F7-7175CA517233}" mergeInterval="0" personalView="1" maximized="1" windowWidth="1276" windowHeight="848" activeSheetId="2"/>
    <customWorkbookView name="Nihat Erdoğan - Kişisel Görünüm" guid="{ECCB89A0-B2FD-43C6-AE6E-2A82A36F1CC0}" mergeInterval="0" personalView="1" maximized="1" xWindow="1" yWindow="1" windowWidth="1280" windowHeight="729" activeSheetId="2"/>
    <customWorkbookView name="wb251380 - Personal View" guid="{C18738E0-1B17-433A-8FC5-25913E085428}" mergeInterval="0" personalView="1" maximized="1" xWindow="1" yWindow="1" windowWidth="1596" windowHeight="638" activeSheetId="1" showComments="commIndAndComment"/>
    <customWorkbookView name="Bahadır KARALARLI - Kişisel Görünüm" guid="{F1899CAA-DD89-4E8A-BDC1-328EE12130F5}" mergeInterval="0" personalView="1" maximized="1" xWindow="1" yWindow="1" windowWidth="1280" windowHeight="758" tabRatio="786" activeSheetId="2"/>
  </customWorkbookViews>
</workbook>
</file>

<file path=xl/calcChain.xml><?xml version="1.0" encoding="utf-8"?>
<calcChain xmlns="http://schemas.openxmlformats.org/spreadsheetml/2006/main">
  <c r="O11" i="2" l="1"/>
  <c r="O16" i="2"/>
  <c r="M16" i="2"/>
  <c r="N16" i="2"/>
  <c r="O10" i="2"/>
  <c r="A1" i="4" l="1"/>
  <c r="E1" i="4"/>
  <c r="A4" i="4"/>
  <c r="B4" i="4"/>
  <c r="C4" i="4"/>
  <c r="D4" i="4"/>
  <c r="E4" i="4"/>
  <c r="B6" i="4"/>
  <c r="A7" i="4"/>
  <c r="B7" i="4"/>
  <c r="C7" i="4" s="1"/>
  <c r="D7" i="4"/>
  <c r="B8" i="4"/>
  <c r="C8" i="4"/>
  <c r="B10" i="4"/>
  <c r="C10" i="4"/>
  <c r="A13" i="4"/>
  <c r="C13" i="4"/>
  <c r="A14" i="4"/>
  <c r="B14" i="4" s="1"/>
  <c r="D10" i="4" s="1"/>
  <c r="A15" i="4"/>
  <c r="B15" i="4"/>
  <c r="D13" i="4" s="1"/>
  <c r="E13" i="4" s="1"/>
  <c r="E15" i="4" s="1"/>
  <c r="D15" i="4"/>
  <c r="D17" i="4"/>
  <c r="B18" i="4"/>
  <c r="D19" i="4"/>
  <c r="B20" i="4"/>
  <c r="B21" i="4"/>
  <c r="B22" i="4"/>
  <c r="B23" i="4"/>
  <c r="B24" i="4"/>
  <c r="B25" i="4"/>
  <c r="B26" i="4"/>
  <c r="B27" i="4"/>
  <c r="B28" i="4"/>
  <c r="B29" i="4"/>
  <c r="B30" i="4"/>
  <c r="A31" i="4"/>
  <c r="B33" i="4"/>
  <c r="E33" i="4"/>
  <c r="B34" i="4"/>
  <c r="E34" i="4"/>
  <c r="B35" i="4"/>
  <c r="E35" i="4"/>
  <c r="B36" i="4"/>
  <c r="E36" i="4"/>
  <c r="B37" i="4"/>
  <c r="E37" i="4"/>
  <c r="B38" i="4"/>
  <c r="E38" i="4"/>
  <c r="B39" i="4"/>
  <c r="E39" i="4"/>
  <c r="B40" i="4"/>
  <c r="E40" i="4"/>
  <c r="B41" i="4"/>
  <c r="E41" i="4"/>
  <c r="B42" i="4"/>
  <c r="E42" i="4"/>
  <c r="B43" i="4"/>
  <c r="E43" i="4"/>
  <c r="B44" i="4"/>
  <c r="E44" i="4"/>
  <c r="B45" i="4"/>
  <c r="E45" i="4"/>
  <c r="B46" i="4"/>
  <c r="E46" i="4"/>
  <c r="B47" i="4"/>
  <c r="E47" i="4"/>
  <c r="B48" i="4"/>
  <c r="E48" i="4"/>
  <c r="B49" i="4"/>
  <c r="E49" i="4"/>
  <c r="B50" i="4"/>
  <c r="E50" i="4"/>
  <c r="B51" i="4"/>
  <c r="E51" i="4"/>
  <c r="A52" i="4"/>
  <c r="D52" i="4"/>
  <c r="E52" i="4"/>
  <c r="B54" i="4"/>
  <c r="E54" i="4"/>
  <c r="B55" i="4"/>
  <c r="E55" i="4"/>
  <c r="B56" i="4"/>
  <c r="E56" i="4"/>
  <c r="B57" i="4"/>
  <c r="E57" i="4"/>
  <c r="B58" i="4"/>
  <c r="E58" i="4"/>
  <c r="B59" i="4"/>
  <c r="E59" i="4"/>
  <c r="B60" i="4"/>
  <c r="E60" i="4"/>
  <c r="B61" i="4"/>
  <c r="E61" i="4"/>
  <c r="B62" i="4"/>
  <c r="E62" i="4"/>
  <c r="B63" i="4"/>
  <c r="E63" i="4"/>
  <c r="B64" i="4"/>
  <c r="E64" i="4"/>
  <c r="B65" i="4"/>
  <c r="E65" i="4"/>
  <c r="B66" i="4"/>
  <c r="E66" i="4"/>
  <c r="B67" i="4"/>
  <c r="E67" i="4"/>
  <c r="B68" i="4"/>
  <c r="E68" i="4"/>
  <c r="B69" i="4"/>
  <c r="E69" i="4"/>
  <c r="A70" i="4"/>
  <c r="B70" i="4"/>
  <c r="E70" i="4"/>
  <c r="C71" i="4"/>
  <c r="B72" i="4"/>
  <c r="E72" i="4"/>
  <c r="B73" i="4"/>
  <c r="E73" i="4"/>
  <c r="B74" i="4"/>
  <c r="E74" i="4"/>
  <c r="B75" i="4"/>
  <c r="E75" i="4"/>
  <c r="B76" i="4"/>
  <c r="E76" i="4"/>
  <c r="B77" i="4"/>
  <c r="E77" i="4"/>
  <c r="B78" i="4"/>
  <c r="E78" i="4"/>
  <c r="B79" i="4"/>
  <c r="E79" i="4"/>
  <c r="B80" i="4"/>
  <c r="E80" i="4"/>
  <c r="B81" i="4"/>
  <c r="E81" i="4"/>
  <c r="B82" i="4"/>
  <c r="E82" i="4"/>
  <c r="B83" i="4"/>
  <c r="E83" i="4"/>
  <c r="A84" i="4"/>
  <c r="E84" i="4"/>
  <c r="B86" i="4"/>
  <c r="E86" i="4"/>
  <c r="B87" i="4"/>
  <c r="E87" i="4"/>
  <c r="E93" i="4" s="1"/>
  <c r="B88" i="4"/>
  <c r="E88" i="4"/>
  <c r="B89" i="4"/>
  <c r="E89" i="4"/>
  <c r="B90" i="4"/>
  <c r="E90" i="4"/>
  <c r="B91" i="4"/>
  <c r="E91" i="4"/>
  <c r="B92" i="4"/>
  <c r="E92" i="4"/>
  <c r="A93" i="4"/>
  <c r="B97" i="4"/>
  <c r="C97" i="4"/>
  <c r="E97" i="4"/>
  <c r="B98" i="4"/>
  <c r="C98" i="4" s="1"/>
  <c r="E98" i="4"/>
  <c r="E107" i="4" s="1"/>
  <c r="D107" i="4" s="1"/>
  <c r="B99" i="4"/>
  <c r="C99" i="4"/>
  <c r="E99" i="4"/>
  <c r="B100" i="4"/>
  <c r="C100" i="4" s="1"/>
  <c r="E100" i="4"/>
  <c r="B101" i="4"/>
  <c r="C101" i="4"/>
  <c r="E101" i="4"/>
  <c r="B102" i="4"/>
  <c r="C102" i="4" s="1"/>
  <c r="E102" i="4"/>
  <c r="B103" i="4"/>
  <c r="C103" i="4"/>
  <c r="E103" i="4"/>
  <c r="B104" i="4"/>
  <c r="C104" i="4" s="1"/>
  <c r="E104" i="4"/>
  <c r="B105" i="4"/>
  <c r="C105" i="4"/>
  <c r="E105" i="4"/>
  <c r="B106" i="4"/>
  <c r="C106" i="4" s="1"/>
  <c r="E106" i="4"/>
  <c r="A107" i="4"/>
  <c r="B107" i="4"/>
  <c r="B109" i="4"/>
  <c r="C109" i="4" s="1"/>
  <c r="E109" i="4"/>
  <c r="B110" i="4"/>
  <c r="C110" i="4"/>
  <c r="E110" i="4"/>
  <c r="B111" i="4"/>
  <c r="C111" i="4" s="1"/>
  <c r="E111" i="4"/>
  <c r="B112" i="4"/>
  <c r="C112" i="4"/>
  <c r="E112" i="4"/>
  <c r="B113" i="4"/>
  <c r="C113" i="4" s="1"/>
  <c r="E113" i="4"/>
  <c r="B114" i="4"/>
  <c r="C114" i="4"/>
  <c r="E114" i="4"/>
  <c r="B115" i="4"/>
  <c r="C115" i="4" s="1"/>
  <c r="E115" i="4"/>
  <c r="B116" i="4"/>
  <c r="C116" i="4"/>
  <c r="E116" i="4"/>
  <c r="B117" i="4"/>
  <c r="C117" i="4" s="1"/>
  <c r="E117" i="4"/>
  <c r="B118" i="4"/>
  <c r="C118" i="4"/>
  <c r="E118" i="4"/>
  <c r="B119" i="4"/>
  <c r="C119" i="4" s="1"/>
  <c r="E119" i="4"/>
  <c r="B120" i="4"/>
  <c r="C120" i="4"/>
  <c r="E120" i="4"/>
  <c r="A121" i="4"/>
  <c r="B121" i="4" s="1"/>
  <c r="E121" i="4"/>
  <c r="B125" i="4"/>
  <c r="C125" i="4" s="1"/>
  <c r="E125" i="4"/>
  <c r="B126" i="4"/>
  <c r="C126" i="4"/>
  <c r="E126" i="4"/>
  <c r="B127" i="4"/>
  <c r="C127" i="4" s="1"/>
  <c r="E127" i="4"/>
  <c r="B128" i="4"/>
  <c r="C128" i="4"/>
  <c r="E128" i="4"/>
  <c r="B129" i="4"/>
  <c r="C129" i="4" s="1"/>
  <c r="E129" i="4"/>
  <c r="B130" i="4"/>
  <c r="C130" i="4"/>
  <c r="E130" i="4"/>
  <c r="B131" i="4"/>
  <c r="C131" i="4" s="1"/>
  <c r="E131" i="4"/>
  <c r="B132" i="4"/>
  <c r="C132" i="4"/>
  <c r="E132" i="4"/>
  <c r="B133" i="4"/>
  <c r="C133" i="4" s="1"/>
  <c r="E133" i="4"/>
  <c r="B134" i="4"/>
  <c r="C134" i="4"/>
  <c r="E134" i="4"/>
  <c r="B135" i="4"/>
  <c r="C135" i="4" s="1"/>
  <c r="E135" i="4"/>
  <c r="B136" i="4"/>
  <c r="C136" i="4"/>
  <c r="E136" i="4"/>
  <c r="B137" i="4"/>
  <c r="C137" i="4" s="1"/>
  <c r="E137" i="4"/>
  <c r="B138" i="4"/>
  <c r="C138" i="4"/>
  <c r="E138" i="4"/>
  <c r="A139" i="4"/>
  <c r="E139" i="4"/>
  <c r="E140" i="4"/>
  <c r="B141" i="4"/>
  <c r="C141" i="4" s="1"/>
  <c r="E141" i="4"/>
  <c r="E154" i="4" s="1"/>
  <c r="B142" i="4"/>
  <c r="C142" i="4"/>
  <c r="E142" i="4"/>
  <c r="B143" i="4"/>
  <c r="C143" i="4" s="1"/>
  <c r="E143" i="4"/>
  <c r="B144" i="4"/>
  <c r="C144" i="4"/>
  <c r="E144" i="4"/>
  <c r="B145" i="4"/>
  <c r="C145" i="4" s="1"/>
  <c r="E145" i="4"/>
  <c r="B146" i="4"/>
  <c r="C146" i="4"/>
  <c r="E146" i="4"/>
  <c r="B147" i="4"/>
  <c r="C147" i="4" s="1"/>
  <c r="E147" i="4"/>
  <c r="B148" i="4"/>
  <c r="C148" i="4"/>
  <c r="E148" i="4"/>
  <c r="B149" i="4"/>
  <c r="C149" i="4" s="1"/>
  <c r="E149" i="4"/>
  <c r="B150" i="4"/>
  <c r="C150" i="4"/>
  <c r="E150" i="4"/>
  <c r="B151" i="4"/>
  <c r="C151" i="4" s="1"/>
  <c r="E151" i="4"/>
  <c r="B152" i="4"/>
  <c r="C152" i="4"/>
  <c r="E152" i="4"/>
  <c r="B153" i="4"/>
  <c r="C153" i="4" s="1"/>
  <c r="E153" i="4"/>
  <c r="B156" i="4"/>
  <c r="C156" i="4" s="1"/>
  <c r="E156" i="4"/>
  <c r="B157" i="4"/>
  <c r="C157" i="4"/>
  <c r="E157" i="4"/>
  <c r="B158" i="4"/>
  <c r="C158" i="4" s="1"/>
  <c r="E158" i="4"/>
  <c r="B159" i="4"/>
  <c r="C159" i="4"/>
  <c r="E159" i="4"/>
  <c r="B160" i="4"/>
  <c r="C160" i="4" s="1"/>
  <c r="E160" i="4"/>
  <c r="B161" i="4"/>
  <c r="C161" i="4"/>
  <c r="E161" i="4"/>
  <c r="B162" i="4"/>
  <c r="C162" i="4" s="1"/>
  <c r="E162" i="4"/>
  <c r="B163" i="4"/>
  <c r="C163" i="4"/>
  <c r="E163" i="4"/>
  <c r="B164" i="4"/>
  <c r="C164" i="4" s="1"/>
  <c r="B165" i="4"/>
  <c r="C165" i="4"/>
  <c r="E165" i="4"/>
  <c r="B166" i="4"/>
  <c r="C166" i="4" s="1"/>
  <c r="E166" i="4"/>
  <c r="B167" i="4"/>
  <c r="C167" i="4"/>
  <c r="E167" i="4"/>
  <c r="B168" i="4"/>
  <c r="C168" i="4" s="1"/>
  <c r="B169" i="4"/>
  <c r="C169" i="4"/>
  <c r="E169" i="4"/>
  <c r="B170" i="4"/>
  <c r="C170" i="4" s="1"/>
  <c r="E170" i="4"/>
  <c r="B171" i="4"/>
  <c r="C171" i="4"/>
  <c r="E171" i="4"/>
  <c r="B174" i="4"/>
  <c r="C174" i="4"/>
  <c r="E174" i="4"/>
  <c r="B175" i="4"/>
  <c r="C175" i="4" s="1"/>
  <c r="B176" i="4"/>
  <c r="C176" i="4"/>
  <c r="E176" i="4"/>
  <c r="B177" i="4"/>
  <c r="C177" i="4" s="1"/>
  <c r="E177" i="4"/>
  <c r="B178" i="4"/>
  <c r="C178" i="4"/>
  <c r="E178" i="4"/>
  <c r="B179" i="4"/>
  <c r="C179" i="4" s="1"/>
  <c r="B180" i="4"/>
  <c r="C180" i="4"/>
  <c r="E180" i="4"/>
  <c r="B181" i="4"/>
  <c r="C181" i="4" s="1"/>
  <c r="E181" i="4"/>
  <c r="B182" i="4"/>
  <c r="C182" i="4"/>
  <c r="E182" i="4"/>
  <c r="B183" i="4"/>
  <c r="C183" i="4" s="1"/>
  <c r="B184" i="4"/>
  <c r="C184" i="4" s="1"/>
  <c r="G186" i="2" s="1"/>
  <c r="H183" i="2" s="1"/>
  <c r="I183" i="2" s="1"/>
  <c r="J183" i="2" s="1"/>
  <c r="E184" i="4"/>
  <c r="B185" i="4"/>
  <c r="C185" i="4"/>
  <c r="E185" i="4"/>
  <c r="B186" i="4"/>
  <c r="C186" i="4" s="1"/>
  <c r="G188" i="2" s="1"/>
  <c r="E186" i="4"/>
  <c r="B187" i="4"/>
  <c r="C187" i="4"/>
  <c r="E187" i="4"/>
  <c r="A188" i="4"/>
  <c r="A190" i="4"/>
  <c r="B190" i="4" s="1"/>
  <c r="A191" i="4"/>
  <c r="B191" i="4" s="1"/>
  <c r="A192" i="4"/>
  <c r="B192" i="4" s="1"/>
  <c r="A193" i="4"/>
  <c r="B193" i="4" s="1"/>
  <c r="A194" i="4"/>
  <c r="B194" i="4" s="1"/>
  <c r="A195" i="4"/>
  <c r="B195" i="4" s="1"/>
  <c r="A196" i="4"/>
  <c r="B196" i="4" s="1"/>
  <c r="A197" i="4"/>
  <c r="B197" i="4" s="1"/>
  <c r="A198" i="4"/>
  <c r="B198" i="4" s="1"/>
  <c r="A199" i="4"/>
  <c r="B199" i="4" s="1"/>
  <c r="A200" i="4"/>
  <c r="B200" i="4" s="1"/>
  <c r="A201" i="4"/>
  <c r="B201" i="4" s="1"/>
  <c r="A223" i="4"/>
  <c r="B223" i="4"/>
  <c r="B226" i="4"/>
  <c r="B227" i="4"/>
  <c r="A228" i="4"/>
  <c r="D228" i="4"/>
  <c r="B230" i="4"/>
  <c r="E230" i="4"/>
  <c r="B231" i="4"/>
  <c r="E231" i="4"/>
  <c r="B232" i="4"/>
  <c r="E232" i="4"/>
  <c r="B233" i="4"/>
  <c r="E233" i="4"/>
  <c r="A234" i="4"/>
  <c r="B236" i="4"/>
  <c r="E236" i="4"/>
  <c r="B237" i="4"/>
  <c r="E237" i="4"/>
  <c r="B238" i="4"/>
  <c r="E238" i="4"/>
  <c r="A239" i="4"/>
  <c r="E239" i="4"/>
  <c r="B241" i="4"/>
  <c r="C241" i="4" s="1"/>
  <c r="B242" i="4"/>
  <c r="C242" i="4"/>
  <c r="B243" i="4"/>
  <c r="C243" i="4" s="1"/>
  <c r="B244" i="4"/>
  <c r="C244" i="4"/>
  <c r="A245" i="4"/>
  <c r="B247" i="4"/>
  <c r="C247" i="4" s="1"/>
  <c r="B248" i="4"/>
  <c r="C248" i="4"/>
  <c r="B250" i="4"/>
  <c r="C250" i="4"/>
  <c r="A252" i="4"/>
  <c r="B252" i="4"/>
  <c r="B253" i="4"/>
  <c r="A253" i="4" s="1"/>
  <c r="B254" i="4"/>
  <c r="B255" i="4"/>
  <c r="A260" i="4"/>
  <c r="B260" i="4"/>
  <c r="B261" i="4"/>
  <c r="C261" i="4"/>
  <c r="B262" i="4"/>
  <c r="C262" i="4"/>
  <c r="A263" i="4"/>
  <c r="B263" i="4"/>
  <c r="C263" i="4"/>
  <c r="A264" i="4"/>
  <c r="B264" i="4" s="1"/>
  <c r="B267" i="4"/>
  <c r="B275" i="4"/>
  <c r="C278" i="4"/>
  <c r="F7" i="3"/>
  <c r="F10" i="3"/>
  <c r="E14" i="3"/>
  <c r="F14" i="3" s="1"/>
  <c r="F15" i="3"/>
  <c r="F16" i="3"/>
  <c r="F17" i="3"/>
  <c r="F22" i="3"/>
  <c r="F26" i="3"/>
  <c r="C29" i="3"/>
  <c r="D29" i="3"/>
  <c r="I8" i="2"/>
  <c r="H8" i="2" s="1"/>
  <c r="H13" i="2" s="1"/>
  <c r="O8" i="2"/>
  <c r="H9" i="2"/>
  <c r="I9" i="2" s="1"/>
  <c r="N9" i="2"/>
  <c r="O9" i="2"/>
  <c r="H10" i="2"/>
  <c r="I10" i="2"/>
  <c r="J10" i="2" s="1"/>
  <c r="N10" i="2"/>
  <c r="I11" i="2"/>
  <c r="J11" i="2" s="1"/>
  <c r="I12" i="2"/>
  <c r="J12" i="2"/>
  <c r="N12" i="2"/>
  <c r="O12" i="2"/>
  <c r="I15" i="2"/>
  <c r="H15" i="2" s="1"/>
  <c r="N15" i="2"/>
  <c r="O15" i="2"/>
  <c r="H16" i="2"/>
  <c r="I16" i="2"/>
  <c r="J16" i="2" s="1"/>
  <c r="I17" i="2"/>
  <c r="H22" i="2"/>
  <c r="I22" i="2" s="1"/>
  <c r="J22" i="2"/>
  <c r="H23" i="2"/>
  <c r="I23" i="2"/>
  <c r="J23" i="2"/>
  <c r="H24" i="2"/>
  <c r="I24" i="2" s="1"/>
  <c r="J24" i="2"/>
  <c r="H25" i="2"/>
  <c r="I25" i="2"/>
  <c r="J25" i="2"/>
  <c r="H26" i="2"/>
  <c r="I26" i="2" s="1"/>
  <c r="J26" i="2"/>
  <c r="H27" i="2"/>
  <c r="I27" i="2"/>
  <c r="J27" i="2"/>
  <c r="H28" i="2"/>
  <c r="I28" i="2" s="1"/>
  <c r="J28" i="2"/>
  <c r="H29" i="2"/>
  <c r="I29" i="2"/>
  <c r="J29" i="2"/>
  <c r="H30" i="2"/>
  <c r="I30" i="2" s="1"/>
  <c r="J30" i="2"/>
  <c r="H31" i="2"/>
  <c r="I31" i="2"/>
  <c r="J31" i="2"/>
  <c r="H32" i="2"/>
  <c r="I32" i="2" s="1"/>
  <c r="J32" i="2"/>
  <c r="G35" i="2"/>
  <c r="G36" i="2"/>
  <c r="C34" i="4" s="1"/>
  <c r="G37" i="2"/>
  <c r="C35" i="4" s="1"/>
  <c r="G38" i="2"/>
  <c r="C36" i="4" s="1"/>
  <c r="G39" i="2"/>
  <c r="C37" i="4" s="1"/>
  <c r="G40" i="2"/>
  <c r="C38" i="4" s="1"/>
  <c r="G41" i="2"/>
  <c r="C39" i="4" s="1"/>
  <c r="G42" i="2"/>
  <c r="C40" i="4" s="1"/>
  <c r="G43" i="2"/>
  <c r="C41" i="4" s="1"/>
  <c r="G44" i="2"/>
  <c r="C42" i="4" s="1"/>
  <c r="J44" i="2"/>
  <c r="G45" i="2"/>
  <c r="C43" i="4" s="1"/>
  <c r="G46" i="2"/>
  <c r="C44" i="4" s="1"/>
  <c r="G47" i="2"/>
  <c r="C45" i="4" s="1"/>
  <c r="G48" i="2"/>
  <c r="C46" i="4" s="1"/>
  <c r="G49" i="2"/>
  <c r="C47" i="4" s="1"/>
  <c r="G50" i="2"/>
  <c r="C48" i="4" s="1"/>
  <c r="G51" i="2"/>
  <c r="C49" i="4" s="1"/>
  <c r="G52" i="2"/>
  <c r="C50" i="4" s="1"/>
  <c r="G53" i="2"/>
  <c r="C51" i="4" s="1"/>
  <c r="G56" i="2"/>
  <c r="G57" i="2"/>
  <c r="C55" i="4" s="1"/>
  <c r="G58" i="2"/>
  <c r="C56" i="4" s="1"/>
  <c r="G59" i="2"/>
  <c r="C57" i="4" s="1"/>
  <c r="G60" i="2"/>
  <c r="C58" i="4" s="1"/>
  <c r="G61" i="2"/>
  <c r="C59" i="4" s="1"/>
  <c r="G62" i="2"/>
  <c r="C60" i="4" s="1"/>
  <c r="O62" i="2"/>
  <c r="G63" i="2"/>
  <c r="C61" i="4" s="1"/>
  <c r="J63" i="2"/>
  <c r="G64" i="2"/>
  <c r="C62" i="4" s="1"/>
  <c r="G65" i="2"/>
  <c r="C63" i="4" s="1"/>
  <c r="G66" i="2"/>
  <c r="C64" i="4" s="1"/>
  <c r="G67" i="2"/>
  <c r="C65" i="4" s="1"/>
  <c r="G68" i="2"/>
  <c r="C66" i="4" s="1"/>
  <c r="G69" i="2"/>
  <c r="C67" i="4" s="1"/>
  <c r="G70" i="2"/>
  <c r="C68" i="4" s="1"/>
  <c r="O70" i="2"/>
  <c r="G71" i="2"/>
  <c r="C69" i="4" s="1"/>
  <c r="G74" i="2"/>
  <c r="C72" i="4" s="1"/>
  <c r="G75" i="2"/>
  <c r="C73" i="4" s="1"/>
  <c r="G76" i="2"/>
  <c r="C74" i="4" s="1"/>
  <c r="G77" i="2"/>
  <c r="C75" i="4" s="1"/>
  <c r="G78" i="2"/>
  <c r="C76" i="4" s="1"/>
  <c r="J78" i="2"/>
  <c r="G79" i="2"/>
  <c r="C77" i="4" s="1"/>
  <c r="G80" i="2"/>
  <c r="C78" i="4" s="1"/>
  <c r="G81" i="2"/>
  <c r="C79" i="4" s="1"/>
  <c r="G82" i="2"/>
  <c r="C80" i="4" s="1"/>
  <c r="G83" i="2"/>
  <c r="C81" i="4" s="1"/>
  <c r="G84" i="2"/>
  <c r="C82" i="4" s="1"/>
  <c r="G85" i="2"/>
  <c r="C83" i="4" s="1"/>
  <c r="G88" i="2"/>
  <c r="C86" i="4" s="1"/>
  <c r="G89" i="2"/>
  <c r="C87" i="4" s="1"/>
  <c r="G90" i="2"/>
  <c r="C88" i="4" s="1"/>
  <c r="G91" i="2"/>
  <c r="C89" i="4" s="1"/>
  <c r="J91" i="2"/>
  <c r="M91" i="2"/>
  <c r="G92" i="2"/>
  <c r="C90" i="4" s="1"/>
  <c r="G93" i="2"/>
  <c r="C91" i="4" s="1"/>
  <c r="G94" i="2"/>
  <c r="C92" i="4" s="1"/>
  <c r="G99" i="2"/>
  <c r="G100" i="2"/>
  <c r="G101" i="2"/>
  <c r="G102" i="2"/>
  <c r="G103" i="2"/>
  <c r="M103" i="2"/>
  <c r="G104" i="2"/>
  <c r="H103" i="2" s="1"/>
  <c r="I103" i="2" s="1"/>
  <c r="J103" i="2" s="1"/>
  <c r="B96" i="4" s="1"/>
  <c r="G105" i="2"/>
  <c r="G106" i="2"/>
  <c r="G107" i="2"/>
  <c r="G108" i="2"/>
  <c r="G111" i="2"/>
  <c r="G112" i="2"/>
  <c r="G113" i="2"/>
  <c r="G114" i="2"/>
  <c r="G115" i="2"/>
  <c r="G116" i="2"/>
  <c r="G117" i="2"/>
  <c r="M117" i="2"/>
  <c r="G118" i="2"/>
  <c r="H117" i="2" s="1"/>
  <c r="I117" i="2" s="1"/>
  <c r="J117" i="2" s="1"/>
  <c r="G119" i="2"/>
  <c r="G120" i="2"/>
  <c r="G121" i="2"/>
  <c r="G122" i="2"/>
  <c r="G127" i="2"/>
  <c r="G128" i="2"/>
  <c r="G129" i="2"/>
  <c r="G130" i="2"/>
  <c r="G131" i="2"/>
  <c r="G132" i="2"/>
  <c r="G133" i="2"/>
  <c r="M133" i="2"/>
  <c r="G134" i="2"/>
  <c r="H133" i="2" s="1"/>
  <c r="G135" i="2"/>
  <c r="G136" i="2"/>
  <c r="G137" i="2"/>
  <c r="G138" i="2"/>
  <c r="G139" i="2"/>
  <c r="G140" i="2"/>
  <c r="G143" i="2"/>
  <c r="G144" i="2"/>
  <c r="G145" i="2"/>
  <c r="G146" i="2"/>
  <c r="G147" i="2"/>
  <c r="G148" i="2"/>
  <c r="G149" i="2"/>
  <c r="M149" i="2"/>
  <c r="G150" i="2"/>
  <c r="H149" i="2" s="1"/>
  <c r="I149" i="2" s="1"/>
  <c r="J149" i="2" s="1"/>
  <c r="G151" i="2"/>
  <c r="G152" i="2"/>
  <c r="G153" i="2"/>
  <c r="G154" i="2"/>
  <c r="G155" i="2"/>
  <c r="G158" i="2"/>
  <c r="O158" i="2"/>
  <c r="G159" i="2"/>
  <c r="O159" i="2"/>
  <c r="G160" i="2"/>
  <c r="O160" i="2"/>
  <c r="G161" i="2"/>
  <c r="O161" i="2"/>
  <c r="G162" i="2"/>
  <c r="O162" i="2"/>
  <c r="G163" i="2"/>
  <c r="O163" i="2"/>
  <c r="G164" i="2"/>
  <c r="H165" i="2" s="1"/>
  <c r="I165" i="2" s="1"/>
  <c r="J165" i="2" s="1"/>
  <c r="O164" i="2"/>
  <c r="G165" i="2"/>
  <c r="M165" i="2"/>
  <c r="O165" i="2"/>
  <c r="G166" i="2"/>
  <c r="O166" i="2"/>
  <c r="G167" i="2"/>
  <c r="O167" i="2"/>
  <c r="G168" i="2"/>
  <c r="O168" i="2"/>
  <c r="G169" i="2"/>
  <c r="O169" i="2"/>
  <c r="G170" i="2"/>
  <c r="O170" i="2"/>
  <c r="G171" i="2"/>
  <c r="O171" i="2"/>
  <c r="G172" i="2"/>
  <c r="O172" i="2"/>
  <c r="G173" i="2"/>
  <c r="O173" i="2"/>
  <c r="G176" i="2"/>
  <c r="O176" i="2"/>
  <c r="G177" i="2"/>
  <c r="O177" i="2"/>
  <c r="G178" i="2"/>
  <c r="O178" i="2"/>
  <c r="G179" i="2"/>
  <c r="O179" i="2"/>
  <c r="G180" i="2"/>
  <c r="O180" i="2"/>
  <c r="G181" i="2"/>
  <c r="O181" i="2"/>
  <c r="G182" i="2"/>
  <c r="O182" i="2"/>
  <c r="G183" i="2"/>
  <c r="M183" i="2"/>
  <c r="O183" i="2"/>
  <c r="G184" i="2"/>
  <c r="O184" i="2"/>
  <c r="G185" i="2"/>
  <c r="N185" i="2"/>
  <c r="O185" i="2" s="1"/>
  <c r="O186" i="2"/>
  <c r="G187" i="2"/>
  <c r="O187" i="2"/>
  <c r="O188" i="2"/>
  <c r="G189" i="2"/>
  <c r="O189" i="2"/>
  <c r="O192" i="2"/>
  <c r="O193" i="2"/>
  <c r="O194" i="2"/>
  <c r="O195" i="2"/>
  <c r="O196" i="2"/>
  <c r="O197" i="2"/>
  <c r="M198" i="2"/>
  <c r="O198" i="2"/>
  <c r="O199" i="2"/>
  <c r="O200" i="2"/>
  <c r="O201" i="2"/>
  <c r="O202" i="2"/>
  <c r="O203" i="2"/>
  <c r="H214" i="2"/>
  <c r="I214" i="2" s="1"/>
  <c r="J214" i="2" s="1"/>
  <c r="M214" i="2"/>
  <c r="N208" i="2" s="1"/>
  <c r="O208" i="2" s="1"/>
  <c r="N215" i="2"/>
  <c r="O215" i="2"/>
  <c r="N216" i="2"/>
  <c r="O216" i="2"/>
  <c r="N217" i="2"/>
  <c r="O217" i="2"/>
  <c r="N218" i="2"/>
  <c r="O218" i="2"/>
  <c r="N219" i="2"/>
  <c r="O219" i="2"/>
  <c r="N220" i="2"/>
  <c r="O220" i="2"/>
  <c r="N221" i="2"/>
  <c r="O221" i="2"/>
  <c r="J223" i="2"/>
  <c r="I223" i="2" s="1"/>
  <c r="H223" i="2" s="1"/>
  <c r="B221" i="4" s="1"/>
  <c r="M223" i="2"/>
  <c r="N223" i="2"/>
  <c r="O223" i="2" s="1"/>
  <c r="H226" i="2"/>
  <c r="I228" i="2"/>
  <c r="H228" i="2" s="1"/>
  <c r="J228" i="2"/>
  <c r="J229" i="2"/>
  <c r="I229" i="2" s="1"/>
  <c r="H229" i="2" s="1"/>
  <c r="G232" i="2"/>
  <c r="G233" i="2"/>
  <c r="J233" i="2"/>
  <c r="G234" i="2"/>
  <c r="G235" i="2"/>
  <c r="G238" i="2"/>
  <c r="G239" i="2"/>
  <c r="H239" i="2"/>
  <c r="I239" i="2" s="1"/>
  <c r="J239" i="2" s="1"/>
  <c r="G240" i="2"/>
  <c r="G243" i="2"/>
  <c r="E241" i="4" s="1"/>
  <c r="G244" i="2"/>
  <c r="E242" i="4" s="1"/>
  <c r="G245" i="2"/>
  <c r="E243" i="4" s="1"/>
  <c r="G246" i="2"/>
  <c r="E244" i="4" s="1"/>
  <c r="G249" i="2"/>
  <c r="E247" i="4" s="1"/>
  <c r="O249" i="2"/>
  <c r="G250" i="2"/>
  <c r="E248" i="4" s="1"/>
  <c r="O250" i="2"/>
  <c r="U251" i="2"/>
  <c r="H252" i="2"/>
  <c r="I252" i="2"/>
  <c r="N252" i="2"/>
  <c r="O252" i="2" s="1"/>
  <c r="I256" i="2"/>
  <c r="N256" i="2"/>
  <c r="O256" i="2" s="1"/>
  <c r="N257" i="2"/>
  <c r="O257" i="2"/>
  <c r="H261" i="2"/>
  <c r="I261" i="2"/>
  <c r="J261" i="2"/>
  <c r="O261" i="2"/>
  <c r="H262" i="2"/>
  <c r="I262" i="2" s="1"/>
  <c r="N262" i="2"/>
  <c r="H263" i="2"/>
  <c r="I263" i="2"/>
  <c r="H264" i="2"/>
  <c r="I264" i="2"/>
  <c r="H265" i="2"/>
  <c r="I265" i="2"/>
  <c r="J265" i="2" s="1"/>
  <c r="H266" i="2"/>
  <c r="I266" i="2" s="1"/>
  <c r="J266" i="2" s="1"/>
  <c r="I267" i="2"/>
  <c r="J267" i="2"/>
  <c r="I268" i="2"/>
  <c r="J268" i="2"/>
  <c r="J269" i="2"/>
  <c r="H269" i="2" s="1"/>
  <c r="H273" i="2"/>
  <c r="I273" i="2"/>
  <c r="I274" i="2"/>
  <c r="H274" i="2" s="1"/>
  <c r="H275" i="2"/>
  <c r="I275" i="2"/>
  <c r="J275" i="2" s="1"/>
  <c r="J276" i="2"/>
  <c r="I276" i="2" s="1"/>
  <c r="I277" i="2"/>
  <c r="H277" i="2" s="1"/>
  <c r="H278" i="2"/>
  <c r="I278" i="2"/>
  <c r="J278" i="2" s="1"/>
  <c r="N278" i="2"/>
  <c r="O278" i="2" s="1"/>
  <c r="H279" i="2"/>
  <c r="I279" i="2" s="1"/>
  <c r="J279" i="2" s="1"/>
  <c r="I280" i="2"/>
  <c r="J280" i="2"/>
  <c r="H281" i="2"/>
  <c r="I281" i="2"/>
  <c r="J281" i="2" s="1"/>
  <c r="I282" i="2"/>
  <c r="J282" i="2" s="1"/>
  <c r="E12" i="3" s="1"/>
  <c r="F12" i="3" s="1"/>
  <c r="I283" i="2"/>
  <c r="J283" i="2" s="1"/>
  <c r="J284" i="2"/>
  <c r="J287" i="2"/>
  <c r="J288" i="2" s="1"/>
  <c r="J295" i="2" s="1"/>
  <c r="H288" i="2"/>
  <c r="I288" i="2"/>
  <c r="H290" i="2"/>
  <c r="I291" i="2"/>
  <c r="H295" i="2"/>
  <c r="I295" i="2"/>
  <c r="N11" i="2" l="1"/>
  <c r="M11" i="2" s="1"/>
  <c r="O262" i="2"/>
  <c r="E20" i="3"/>
  <c r="J285" i="2"/>
  <c r="J294" i="2" s="1"/>
  <c r="H276" i="2"/>
  <c r="H285" i="2" s="1"/>
  <c r="I285" i="2"/>
  <c r="I294" i="2" s="1"/>
  <c r="I269" i="2"/>
  <c r="H271" i="2"/>
  <c r="H293" i="2" s="1"/>
  <c r="I271" i="2"/>
  <c r="J262" i="2"/>
  <c r="J271" i="2" s="1"/>
  <c r="E24" i="3"/>
  <c r="E203" i="4"/>
  <c r="E11" i="3"/>
  <c r="J9" i="2"/>
  <c r="J13" i="2" s="1"/>
  <c r="I13" i="2"/>
  <c r="I290" i="2" s="1"/>
  <c r="E201" i="4"/>
  <c r="C201" i="4"/>
  <c r="G203" i="2" s="1"/>
  <c r="E199" i="4"/>
  <c r="C199" i="4"/>
  <c r="G201" i="2" s="1"/>
  <c r="E197" i="4"/>
  <c r="C197" i="4"/>
  <c r="G199" i="2" s="1"/>
  <c r="E195" i="4"/>
  <c r="C195" i="4"/>
  <c r="G197" i="2" s="1"/>
  <c r="E193" i="4"/>
  <c r="C193" i="4"/>
  <c r="G195" i="2" s="1"/>
  <c r="E191" i="4"/>
  <c r="C191" i="4"/>
  <c r="G193" i="2" s="1"/>
  <c r="J256" i="2"/>
  <c r="H250" i="2"/>
  <c r="I250" i="2" s="1"/>
  <c r="J250" i="2" s="1"/>
  <c r="H244" i="2"/>
  <c r="I244" i="2" s="1"/>
  <c r="J244" i="2" s="1"/>
  <c r="E245" i="4"/>
  <c r="H233" i="2"/>
  <c r="I233" i="2" s="1"/>
  <c r="H225" i="2"/>
  <c r="B124" i="4"/>
  <c r="I133" i="2"/>
  <c r="D11" i="4"/>
  <c r="J17" i="2"/>
  <c r="G15" i="2"/>
  <c r="H17" i="2"/>
  <c r="E200" i="4"/>
  <c r="C200" i="4"/>
  <c r="G202" i="2" s="1"/>
  <c r="E198" i="4"/>
  <c r="C198" i="4"/>
  <c r="G200" i="2" s="1"/>
  <c r="E196" i="4"/>
  <c r="C196" i="4"/>
  <c r="G198" i="2" s="1"/>
  <c r="E194" i="4"/>
  <c r="C194" i="4"/>
  <c r="G196" i="2" s="1"/>
  <c r="E192" i="4"/>
  <c r="C192" i="4"/>
  <c r="G194" i="2" s="1"/>
  <c r="E190" i="4"/>
  <c r="C190" i="4"/>
  <c r="G192" i="2" s="1"/>
  <c r="H198" i="2" s="1"/>
  <c r="I198" i="2" s="1"/>
  <c r="J198" i="2" s="1"/>
  <c r="I225" i="2"/>
  <c r="H91" i="2"/>
  <c r="I91" i="2" s="1"/>
  <c r="H78" i="2"/>
  <c r="C70" i="4"/>
  <c r="C54" i="4"/>
  <c r="H44" i="2"/>
  <c r="C33" i="4"/>
  <c r="C52" i="4"/>
  <c r="C107" i="4"/>
  <c r="J225" i="2"/>
  <c r="N214" i="2"/>
  <c r="O214" i="2" s="1"/>
  <c r="N213" i="2"/>
  <c r="O213" i="2" s="1"/>
  <c r="N212" i="2"/>
  <c r="O212" i="2" s="1"/>
  <c r="N211" i="2"/>
  <c r="O211" i="2" s="1"/>
  <c r="N210" i="2"/>
  <c r="O210" i="2" s="1"/>
  <c r="N209" i="2"/>
  <c r="O209" i="2" s="1"/>
  <c r="H63" i="2"/>
  <c r="I63" i="2" s="1"/>
  <c r="B71" i="4"/>
  <c r="C31" i="4"/>
  <c r="H19" i="2"/>
  <c r="C17" i="4" s="1"/>
  <c r="E183" i="4"/>
  <c r="E179" i="4"/>
  <c r="E175" i="4"/>
  <c r="E168" i="4"/>
  <c r="E164" i="4"/>
  <c r="B283" i="4" l="1"/>
  <c r="H294" i="2"/>
  <c r="E6" i="3"/>
  <c r="F6" i="3" s="1"/>
  <c r="C32" i="4"/>
  <c r="B31" i="4" s="1"/>
  <c r="C30" i="4" s="1"/>
  <c r="I44" i="2"/>
  <c r="C15" i="4"/>
  <c r="H291" i="2"/>
  <c r="E11" i="4"/>
  <c r="E14" i="4"/>
  <c r="J291" i="2"/>
  <c r="B224" i="4"/>
  <c r="A224" i="4" s="1"/>
  <c r="J133" i="2"/>
  <c r="C11" i="4"/>
  <c r="E10" i="4"/>
  <c r="J290" i="2"/>
  <c r="C268" i="4"/>
  <c r="I293" i="2"/>
  <c r="F20" i="3"/>
  <c r="E172" i="4"/>
  <c r="E188" i="4"/>
  <c r="I78" i="2"/>
  <c r="H255" i="2"/>
  <c r="J257" i="2"/>
  <c r="I257" i="2" s="1"/>
  <c r="E9" i="3"/>
  <c r="F9" i="3" s="1"/>
  <c r="F11" i="3"/>
  <c r="F24" i="3"/>
  <c r="D268" i="4"/>
  <c r="J293" i="2"/>
  <c r="H257" i="2" l="1"/>
  <c r="H254" i="2" s="1"/>
  <c r="H259" i="2" s="1"/>
  <c r="I254" i="2"/>
  <c r="J254" i="2"/>
  <c r="E21" i="3" s="1"/>
  <c r="C139" i="4"/>
  <c r="J19" i="2"/>
  <c r="E202" i="4"/>
  <c r="D203" i="4" s="1"/>
  <c r="D202" i="4" s="1"/>
  <c r="A18" i="4" l="1"/>
  <c r="C18" i="4" s="1"/>
  <c r="E5" i="3"/>
  <c r="J259" i="2"/>
  <c r="J292" i="2" s="1"/>
  <c r="F21" i="3"/>
  <c r="E19" i="3"/>
  <c r="I259" i="2"/>
  <c r="I292" i="2" s="1"/>
  <c r="H292" i="2"/>
  <c r="E4" i="3" l="1"/>
  <c r="F4" i="3" s="1"/>
  <c r="F5" i="3"/>
  <c r="F19" i="3"/>
  <c r="E29" i="3"/>
  <c r="J296" i="2"/>
  <c r="I296" i="2" s="1"/>
  <c r="H296" i="2" s="1"/>
  <c r="H298" i="2" s="1"/>
  <c r="H300" i="2" s="1"/>
  <c r="J298" i="2"/>
  <c r="J300" i="2" s="1"/>
  <c r="I298" i="2" l="1"/>
  <c r="I300" i="2" s="1"/>
</calcChain>
</file>

<file path=xl/sharedStrings.xml><?xml version="1.0" encoding="utf-8"?>
<sst xmlns="http://schemas.openxmlformats.org/spreadsheetml/2006/main" count="821" uniqueCount="593">
  <si>
    <t>Ref. No.</t>
  </si>
  <si>
    <t>Description</t>
  </si>
  <si>
    <t>Type</t>
  </si>
  <si>
    <t>GOODS</t>
  </si>
  <si>
    <t>WORKS</t>
  </si>
  <si>
    <t>Sub-Total</t>
  </si>
  <si>
    <t>Total</t>
  </si>
  <si>
    <t>BF</t>
  </si>
  <si>
    <t>Shopping</t>
  </si>
  <si>
    <t>G</t>
  </si>
  <si>
    <t>Prior</t>
  </si>
  <si>
    <t>NCB</t>
  </si>
  <si>
    <t>Post</t>
  </si>
  <si>
    <t>W</t>
  </si>
  <si>
    <t>QCBS</t>
  </si>
  <si>
    <t>TR</t>
  </si>
  <si>
    <t>TOTAL GOODS</t>
  </si>
  <si>
    <t>GRAND  TOTAL</t>
  </si>
  <si>
    <t>S</t>
  </si>
  <si>
    <t>CS</t>
  </si>
  <si>
    <t>TS</t>
  </si>
  <si>
    <t>Incremental operating cost</t>
  </si>
  <si>
    <t>OC</t>
  </si>
  <si>
    <t>TECHNICAL SERVICES</t>
  </si>
  <si>
    <t>OPERATING COST</t>
  </si>
  <si>
    <t>Procurement Method</t>
  </si>
  <si>
    <t>CONSULTING SERVICES</t>
  </si>
  <si>
    <t>TOTAL OPERATING COST</t>
  </si>
  <si>
    <r>
      <t>Post</t>
    </r>
    <r>
      <rPr>
        <vertAlign val="superscript"/>
        <sz val="12"/>
        <rFont val="Times New Roman"/>
        <family val="1"/>
        <charset val="162"/>
      </rPr>
      <t xml:space="preserve"> (1)</t>
    </r>
  </si>
  <si>
    <t>G:</t>
  </si>
  <si>
    <t>The first package of each shopping (i.e goods, small works and logistic services) is subject to prior review and rest of the Shopping packages are subject to post review.</t>
  </si>
  <si>
    <t>(1)</t>
  </si>
  <si>
    <t>(2)</t>
  </si>
  <si>
    <t>(3)</t>
  </si>
  <si>
    <t>(4)</t>
  </si>
  <si>
    <t>Goods</t>
  </si>
  <si>
    <t>Works</t>
  </si>
  <si>
    <t>Technical Services</t>
  </si>
  <si>
    <t>Consulting Services</t>
  </si>
  <si>
    <t>Training</t>
  </si>
  <si>
    <t>Operating Cost</t>
  </si>
  <si>
    <t>W:</t>
  </si>
  <si>
    <t>TS:</t>
  </si>
  <si>
    <t>CS:</t>
  </si>
  <si>
    <t>TR:</t>
  </si>
  <si>
    <t>OC:</t>
  </si>
  <si>
    <t>NCB:</t>
  </si>
  <si>
    <t>ICB:</t>
  </si>
  <si>
    <t>IC:</t>
  </si>
  <si>
    <t>QCBS:</t>
  </si>
  <si>
    <t>S:</t>
  </si>
  <si>
    <t>National Competitive Bidding</t>
  </si>
  <si>
    <t>International Competitive Bidding</t>
  </si>
  <si>
    <t>Individual Consultant</t>
  </si>
  <si>
    <t>Quality and Cost Based Selection</t>
  </si>
  <si>
    <t>Selection Based on Consultant's Qualifications</t>
  </si>
  <si>
    <t>Types:</t>
  </si>
  <si>
    <t>Procurement Methods:</t>
  </si>
  <si>
    <t>Notes:</t>
  </si>
  <si>
    <t>Item</t>
  </si>
  <si>
    <t>April 2008</t>
  </si>
  <si>
    <t>September 2010</t>
  </si>
  <si>
    <t>TOTAL TECHNICAL SERVICES</t>
  </si>
  <si>
    <t>TOTAL CONSULTING SERVICES</t>
  </si>
  <si>
    <t>TRAININGS AND WORKSHOPS</t>
  </si>
  <si>
    <t>TOTAL TRAINING AND WORKSHOPS</t>
  </si>
  <si>
    <t>TS.1</t>
  </si>
  <si>
    <t>TS.5</t>
  </si>
  <si>
    <t>TS.6</t>
  </si>
  <si>
    <t>CS.1</t>
  </si>
  <si>
    <t>G.1</t>
  </si>
  <si>
    <t>CS.5</t>
  </si>
  <si>
    <t>TR.3.1-3.5</t>
  </si>
  <si>
    <t>TR.4.1-4.3</t>
  </si>
  <si>
    <t>OC.1.1-1.5</t>
  </si>
  <si>
    <t>UNALLOCATED</t>
  </si>
  <si>
    <t>(5)</t>
  </si>
  <si>
    <t>TS.3</t>
  </si>
  <si>
    <t>TS.4</t>
  </si>
  <si>
    <t>TS.17</t>
  </si>
  <si>
    <t>TS.18</t>
  </si>
  <si>
    <t>Multiple</t>
  </si>
  <si>
    <t>TA to PMU (procurement specialist, disbursement specialist, financial management specalist, monitoring and evaluation specialist and other individual consultants required by the PMU and other TKGM technical units)</t>
  </si>
  <si>
    <t>ANK-PLT</t>
  </si>
  <si>
    <t>CNR-MRK</t>
  </si>
  <si>
    <t>ANK-KZN</t>
  </si>
  <si>
    <t>CNR-EDN</t>
  </si>
  <si>
    <t>ANK-SKH</t>
  </si>
  <si>
    <t>ANK-GLB</t>
  </si>
  <si>
    <t xml:space="preserve">ANK-AYS </t>
  </si>
  <si>
    <t>ANK-GDL</t>
  </si>
  <si>
    <t>Cadastre Renovation Works in POLATLI</t>
  </si>
  <si>
    <t>Cadastre Renovation Works in KAZAN</t>
  </si>
  <si>
    <t>Cadastre Renovation Works in ELDİVAN</t>
  </si>
  <si>
    <t>Cadastre Renovation Works in Ş.KOÇHİSAR</t>
  </si>
  <si>
    <t>Cadastre Renovation Works in GÖLBAŞI</t>
  </si>
  <si>
    <t>Cadastre Renovation Works in AYAŞ</t>
  </si>
  <si>
    <t>Cadastre Renovation Works in GÜDÜL</t>
  </si>
  <si>
    <t>ADN-SYH II</t>
  </si>
  <si>
    <t>OSM-MRK</t>
  </si>
  <si>
    <t>MRS-ANM</t>
  </si>
  <si>
    <t>MRS-SLF</t>
  </si>
  <si>
    <t>MRS-MUT</t>
  </si>
  <si>
    <t xml:space="preserve">Cadastre Renovation Works in  ALADAĞ </t>
  </si>
  <si>
    <t xml:space="preserve">Cadastre Renovation Works in  MERKEZ </t>
  </si>
  <si>
    <t xml:space="preserve">Cadastre Renovation Works in ANAMUR </t>
  </si>
  <si>
    <t xml:space="preserve">Cadastre Renovation Works in ERDEMLİ   </t>
  </si>
  <si>
    <t xml:space="preserve">Cadastre Renovation Works in MUT </t>
  </si>
  <si>
    <t>MGL-FTH</t>
  </si>
  <si>
    <t>USK-MRK</t>
  </si>
  <si>
    <t xml:space="preserve">Cadastre Renovation Works in Usak Merkez </t>
  </si>
  <si>
    <t>Cadastre Renovation Works in FETHİYE</t>
  </si>
  <si>
    <t>CRM-DDR</t>
  </si>
  <si>
    <t>CRM-MRK</t>
  </si>
  <si>
    <t>CRM-ISK</t>
  </si>
  <si>
    <t>YZG-AKD</t>
  </si>
  <si>
    <t>YZG-YRK</t>
  </si>
  <si>
    <t>Cadastre Renovation Works in  DODURGA</t>
  </si>
  <si>
    <t>Cadastre Renovation Works in İSKİLİP</t>
  </si>
  <si>
    <t>Cadastre Renovation Works in AKDAĞMADENİ</t>
  </si>
  <si>
    <t>Cadastre Renovation Works in YERKÖY</t>
  </si>
  <si>
    <t>Cadastre Renovation Works in Çorum MERKEZ</t>
  </si>
  <si>
    <t xml:space="preserve">Cadastre Renovation Works in Sorgun </t>
  </si>
  <si>
    <t>YZG-SRG</t>
  </si>
  <si>
    <t>AMS-MRK</t>
  </si>
  <si>
    <t>Cadastre Renovation Works in Amasya MERKEZ</t>
  </si>
  <si>
    <t>SVS-MRK</t>
  </si>
  <si>
    <t>Cadastre Renovation Works in Sivas MERKEZ</t>
  </si>
  <si>
    <t xml:space="preserve">Cadastre Renovation Works in Kocasinan </t>
  </si>
  <si>
    <t>ADN-SYH</t>
  </si>
  <si>
    <t xml:space="preserve">Cadastre Renovation Works in Selcuklu </t>
  </si>
  <si>
    <t xml:space="preserve">Cadastre Renovation Works in Meram </t>
  </si>
  <si>
    <t xml:space="preserve">Cadastre Renovation Works in Karatay </t>
  </si>
  <si>
    <t xml:space="preserve">Cadastre Renovation Works in Aksaray </t>
  </si>
  <si>
    <t>August 2009</t>
  </si>
  <si>
    <t>Jan 2010</t>
  </si>
  <si>
    <t>Cadastre Renovation Works in Cankiri MERKEZ</t>
  </si>
  <si>
    <t xml:space="preserve">Cadastre Renovation Works in Antalya Merkez </t>
  </si>
  <si>
    <t>IC</t>
  </si>
  <si>
    <t>Cadastre Renovation Works in Adana SEYHAN</t>
  </si>
  <si>
    <t>(1a)</t>
  </si>
  <si>
    <t xml:space="preserve">These two NCB Packages were reviewed as prior review contracts for NCB technical services category in accordance with note (1). </t>
  </si>
  <si>
    <t>ANT-MRK2</t>
  </si>
  <si>
    <t>KNY-SLC</t>
  </si>
  <si>
    <t>KNY-MRM</t>
  </si>
  <si>
    <t>AKS-AGC</t>
  </si>
  <si>
    <t>ANT-MRK1</t>
  </si>
  <si>
    <t>KYS-MLK</t>
  </si>
  <si>
    <t>KYS-KCS</t>
  </si>
  <si>
    <t>BRS-ING</t>
  </si>
  <si>
    <t>BLK-AYV</t>
  </si>
  <si>
    <t>CNK-CAN</t>
  </si>
  <si>
    <t>BRS-NLF</t>
  </si>
  <si>
    <t>Cadastre Renovation Works in AYVALIK</t>
  </si>
  <si>
    <t>Cadastre Renovation Works in NİLÜFER</t>
  </si>
  <si>
    <t>Cadastre Renovation Works in İNEGÖL</t>
  </si>
  <si>
    <t>Cadastre Renovation Works in ÇAN</t>
  </si>
  <si>
    <t>KRM-MRK</t>
  </si>
  <si>
    <t>KNY-AKS</t>
  </si>
  <si>
    <t>KNY-KLU</t>
  </si>
  <si>
    <t>Cadastre Renovation Works in KARAMAN MERKEZ</t>
  </si>
  <si>
    <t>Cadastre Renovation Works in AKŞEHİR</t>
  </si>
  <si>
    <t>Cadastre Renovation Works in KULU</t>
  </si>
  <si>
    <t>CRM-OSM</t>
  </si>
  <si>
    <t>Cadastre Renovation Works in OSMANCIK</t>
  </si>
  <si>
    <t>BLK-DRS</t>
  </si>
  <si>
    <t>CNK-LPS</t>
  </si>
  <si>
    <t>CNK-AYC</t>
  </si>
  <si>
    <t>Cadastre Renovation Works in DURSUNBEY</t>
  </si>
  <si>
    <t>Cadastre Renovation Works in LAPSEKİ</t>
  </si>
  <si>
    <t>Cadastre Renovation Works in AYVACIK</t>
  </si>
  <si>
    <t>ESK-TPB</t>
  </si>
  <si>
    <t>Cadastre Renovation Works in TEPEBAŞI</t>
  </si>
  <si>
    <t>OSM-KDR</t>
  </si>
  <si>
    <t xml:space="preserve">Cadastre Renovation Works in  KADİRLİ </t>
  </si>
  <si>
    <t>MNS-KUL</t>
  </si>
  <si>
    <t>Cadastre Renovation Works in KULA</t>
  </si>
  <si>
    <t>KNY-KRT</t>
  </si>
  <si>
    <t>Financial Management System Software</t>
  </si>
  <si>
    <t>(1b)</t>
  </si>
  <si>
    <t>Contract Signed</t>
  </si>
  <si>
    <t>Contract Completed</t>
  </si>
  <si>
    <t>Only bidding document was reviewed by WB for these tenders.</t>
  </si>
  <si>
    <t>Procurement Method Threshold</t>
  </si>
  <si>
    <t>Prior Review Threshold</t>
  </si>
  <si>
    <t>First contract of each category</t>
  </si>
  <si>
    <t>Direct Contracting</t>
  </si>
  <si>
    <t>April 2012</t>
  </si>
  <si>
    <t>V.  Procurement Packages with Methods and Time Schedule</t>
  </si>
  <si>
    <t>IV.  Any Other Special Procurement Arrangements:</t>
  </si>
  <si>
    <t>of paragraph 2.7 of the Consultant Guidelines.</t>
  </si>
  <si>
    <r>
      <t xml:space="preserve">2. Short list comprising entirely of national consultants: </t>
    </r>
    <r>
      <rPr>
        <sz val="12"/>
        <rFont val="Arial"/>
        <family val="2"/>
      </rPr>
      <t xml:space="preserve">Short list of consultants for services estimated to cost less </t>
    </r>
  </si>
  <si>
    <r>
      <t xml:space="preserve">the first individual consultant contract and </t>
    </r>
    <r>
      <rPr>
        <b/>
        <sz val="12"/>
        <rFont val="Times New Roman"/>
        <family val="1"/>
      </rPr>
      <t>all single source individual contracts</t>
    </r>
    <r>
      <rPr>
        <sz val="12"/>
        <rFont val="Times New Roman"/>
        <family val="1"/>
      </rPr>
      <t xml:space="preserve"> are subject to Bank's prior review irrespective of contract amount. ToRs for individual consultant contracts are all subject to prior review by the Bank.</t>
    </r>
  </si>
  <si>
    <t>Individual Consultants (IC)</t>
  </si>
  <si>
    <t>All contracts are subject to prior review</t>
  </si>
  <si>
    <t>Single Source Selection of Firms (SSS)</t>
  </si>
  <si>
    <t xml:space="preserve">Contracts valued &lt;$ 200,000   </t>
  </si>
  <si>
    <t>Selection Based on Consultants Qualification (CQS or CQ)</t>
  </si>
  <si>
    <t>Quality Based Selection (QBS)</t>
  </si>
  <si>
    <t>Least Cost Selection (LCS)</t>
  </si>
  <si>
    <t>Quality and Cost Based Selection (QCBS)</t>
  </si>
  <si>
    <t>Selection Method Threshold</t>
  </si>
  <si>
    <t>Selection Method</t>
  </si>
  <si>
    <t>Consultant Guidelines</t>
  </si>
  <si>
    <r>
      <rPr>
        <b/>
        <sz val="12"/>
        <rFont val="Arial"/>
        <family val="2"/>
      </rPr>
      <t>1. Prior  Review Threshold :</t>
    </r>
    <r>
      <rPr>
        <sz val="12"/>
        <rFont val="Arial"/>
        <family val="2"/>
      </rPr>
      <t xml:space="preserve"> Selection decisions subject to Prior Review by the Bank as stated in Appendix 1 to the</t>
    </r>
  </si>
  <si>
    <t>III. Selection of Consultants</t>
  </si>
  <si>
    <t xml:space="preserve">Contracts valued &lt; $ 100,000 - Logistic services for workshops and similar events                                  </t>
  </si>
  <si>
    <t xml:space="preserve">Contracts valued &lt;$ 100,000 - Goods                       </t>
  </si>
  <si>
    <t>National Competitive Bidding (NCB)</t>
  </si>
  <si>
    <t>International Competitive Bidding (ICB)</t>
  </si>
  <si>
    <t>Procurement Guidelines.</t>
  </si>
  <si>
    <t>II. Goods and Technical Services</t>
  </si>
  <si>
    <t>4. Period Covered with this procurement plan:</t>
  </si>
  <si>
    <t xml:space="preserve">3. Date of General Procurement Notice:   </t>
  </si>
  <si>
    <t>2. Bank's Approval Date of the Procurement Plan:</t>
  </si>
  <si>
    <t>:</t>
  </si>
  <si>
    <t>Implementing Agency</t>
  </si>
  <si>
    <t>Loan No</t>
  </si>
  <si>
    <t>Project Name</t>
  </si>
  <si>
    <t>Republic of Turkey</t>
  </si>
  <si>
    <t>Borrower</t>
  </si>
  <si>
    <t>Turkey</t>
  </si>
  <si>
    <t>Country</t>
  </si>
  <si>
    <t>1. Project Information</t>
  </si>
  <si>
    <t>I. General</t>
  </si>
  <si>
    <t>PROCUREMENT PLAN</t>
  </si>
  <si>
    <t>LAND REGISTRY AND CADASTRE MODERNIZATION PROJECT</t>
  </si>
  <si>
    <t>7537-TU</t>
  </si>
  <si>
    <t>General Directorate of Land Registry and Cadastre (TKGM)</t>
  </si>
  <si>
    <t xml:space="preserve">Contracts valued &lt; $ 100,000 - Works                         </t>
  </si>
  <si>
    <t>- The estimated costs in the attached tables (sheets) include all the taxes (including VAT).</t>
  </si>
  <si>
    <r>
      <t xml:space="preserve">Review by Bank Prior/   Post </t>
    </r>
    <r>
      <rPr>
        <b/>
        <vertAlign val="superscript"/>
        <sz val="12"/>
        <rFont val="Times New Roman"/>
        <family val="1"/>
        <charset val="162"/>
      </rPr>
      <t>(1), (2), (3)</t>
    </r>
  </si>
  <si>
    <t>Number of contracts /slices</t>
  </si>
  <si>
    <t>(7)</t>
  </si>
  <si>
    <t>The bid evaluation report of these procurements will be prior reviewed by the Bank.</t>
  </si>
  <si>
    <t>W.1.1</t>
  </si>
  <si>
    <t>Land Registry and Cadastre Modernization Project</t>
  </si>
  <si>
    <r>
      <rPr>
        <b/>
        <sz val="12"/>
        <rFont val="Arial"/>
        <family val="2"/>
      </rPr>
      <t>1. Prior  Review Threshold :</t>
    </r>
    <r>
      <rPr>
        <sz val="12"/>
        <rFont val="Arial"/>
        <family val="2"/>
      </rPr>
      <t xml:space="preserve"> Procurement decisions subject to Prior Review by the Bank as stated in Appendix 1 to the</t>
    </r>
  </si>
  <si>
    <t>prior review threshold, shall be sent to the Bank for prior review.</t>
  </si>
  <si>
    <r>
      <t xml:space="preserve">Contracts valued &lt; $1,000,000 - </t>
    </r>
    <r>
      <rPr>
        <b/>
        <sz val="12"/>
        <rFont val="Times New Roman"/>
        <family val="1"/>
      </rPr>
      <t>Goods</t>
    </r>
    <r>
      <rPr>
        <sz val="12"/>
        <rFont val="Times New Roman"/>
        <family val="1"/>
      </rPr>
      <t xml:space="preserve">   </t>
    </r>
  </si>
  <si>
    <t>Expected contract completion date does not include the defects liability/warranty period.</t>
  </si>
  <si>
    <t>Contract Awarded</t>
  </si>
  <si>
    <t xml:space="preserve"> </t>
  </si>
  <si>
    <t>Cadastral Renovation works tenders in 2011</t>
  </si>
  <si>
    <t>TS.2</t>
  </si>
  <si>
    <t>TS.7</t>
  </si>
  <si>
    <t>TS.8</t>
  </si>
  <si>
    <t>TS.9</t>
  </si>
  <si>
    <t>Cadastre Renovation Works</t>
  </si>
  <si>
    <t>Cadastral Renovation works tenders in 2009</t>
  </si>
  <si>
    <t>Group-01 Cadastral Renovation works tenders in 2010</t>
  </si>
  <si>
    <t>Group-02 Cadastral Renovation works tenders in 2010</t>
  </si>
  <si>
    <t>Group 03 Cadastral Renovation works tenders in 2010</t>
  </si>
  <si>
    <t>Group 04 Cadastral Renovation works tenders in 2010</t>
  </si>
  <si>
    <t>Group 06 Cadastral Renovation works tenders in 2011</t>
  </si>
  <si>
    <t>Cadastral Renovation works in KRK-YHN</t>
  </si>
  <si>
    <t>Cadastral Renovation works in TRB-BSK</t>
  </si>
  <si>
    <t>Cadastral Renovation works in GRS-MRK</t>
  </si>
  <si>
    <t>Cadastral Renovation works in ORD-UNY</t>
  </si>
  <si>
    <t>Cadastral Renovation works in SMS-TKE</t>
  </si>
  <si>
    <t>Cadastral Renovation works in ORD-MRK</t>
  </si>
  <si>
    <t>Cadastral Renovation works in NVS-KOZ</t>
  </si>
  <si>
    <t>Cadastral Renovation works in HTY-ANT</t>
  </si>
  <si>
    <t>Cadastral Renovation works in BLK-MRK</t>
  </si>
  <si>
    <t>Cadastral Renovation works in BRS-OSM</t>
  </si>
  <si>
    <t>Cadastral Renovation works in TRB-MRK</t>
  </si>
  <si>
    <t>Cadastral Renovation works in CNK-BIG</t>
  </si>
  <si>
    <t>Cadastral Renovation works in TRB-AKC</t>
  </si>
  <si>
    <t>Cadastral Renovation works in YZG-MRK</t>
  </si>
  <si>
    <t>Cost of Slice</t>
  </si>
  <si>
    <t>Expected contract signing date</t>
  </si>
  <si>
    <r>
      <t xml:space="preserve">Expected Contract Completion date </t>
    </r>
    <r>
      <rPr>
        <b/>
        <vertAlign val="superscript"/>
        <sz val="12"/>
        <rFont val="Times New Roman"/>
        <family val="1"/>
      </rPr>
      <t>(4)</t>
    </r>
  </si>
  <si>
    <t>(8)</t>
  </si>
  <si>
    <t>Original: March 17, 2008; Revision 1: June 18, 2010</t>
  </si>
  <si>
    <t>Contracts valued ≥$ 350,000 and</t>
  </si>
  <si>
    <t>Contracts valued ≥ $ 100,000 and,</t>
  </si>
  <si>
    <t>Land Registry and Cadastre Modernization Project, LN: 7537-TU</t>
  </si>
  <si>
    <r>
      <t xml:space="preserve">Contracts valued &lt; $15,000,000 - </t>
    </r>
    <r>
      <rPr>
        <b/>
        <sz val="12"/>
        <rFont val="Times New Roman"/>
        <family val="1"/>
      </rPr>
      <t>Works</t>
    </r>
    <r>
      <rPr>
        <sz val="12"/>
        <rFont val="Times New Roman"/>
        <family val="1"/>
      </rPr>
      <t xml:space="preserve">            </t>
    </r>
  </si>
  <si>
    <t>Cadastral Renovation works in ERC-UZM</t>
  </si>
  <si>
    <t>ICB</t>
  </si>
  <si>
    <t>Cadastral Renovation works in ANT-KUM</t>
  </si>
  <si>
    <t>Cadastral Renovation works in YZG-BGZ</t>
  </si>
  <si>
    <t>Procurement initiated</t>
  </si>
  <si>
    <t xml:space="preserve">Cadastre Renovation Works in Kelikgazi </t>
  </si>
  <si>
    <t>Group 05 Cadastral Renovation works tenders in 2011</t>
  </si>
  <si>
    <t>Cadastral Renovation works in ANK-AYS II</t>
  </si>
  <si>
    <t>Cadastral Renovation works in BNG-MRK</t>
  </si>
  <si>
    <t>Cadastral Renovation works in BRT-MRK</t>
  </si>
  <si>
    <t>Cadastral Renovation works tenders in 2012</t>
  </si>
  <si>
    <t>Group 08 Cadastral Renovation works tenders in 2012</t>
  </si>
  <si>
    <t>Group 09 Cadastral Renovation works tenders in 2012</t>
  </si>
  <si>
    <t>Base Mapping Including Ortophoto and Vector Maps in Throughout the Country</t>
  </si>
  <si>
    <t>TS.16</t>
  </si>
  <si>
    <t>Base Mapping including Ortophoto and Vector Maps in 2009</t>
  </si>
  <si>
    <t>Group 10 Cadastral Renovation works tenders in 2012</t>
  </si>
  <si>
    <t>TS.10</t>
  </si>
  <si>
    <t>TS.11</t>
  </si>
  <si>
    <t>TS.12</t>
  </si>
  <si>
    <t>TS.19</t>
  </si>
  <si>
    <t>Workshop for Evaluation of Cadastre Renovation Works</t>
  </si>
  <si>
    <t>TR.1.1</t>
  </si>
  <si>
    <t>April 04, 2011</t>
  </si>
  <si>
    <t>April 15, 2011</t>
  </si>
  <si>
    <t>April 30, 2011</t>
  </si>
  <si>
    <t>March 03,2011</t>
  </si>
  <si>
    <t>March 10, 2011</t>
  </si>
  <si>
    <t>March 20, 2011</t>
  </si>
  <si>
    <t>Revision 1.1: October 04, 2010; Revision 2: 04 March 2011</t>
  </si>
  <si>
    <t>5. Loan Closing Date:</t>
  </si>
  <si>
    <r>
      <t xml:space="preserve">Post </t>
    </r>
    <r>
      <rPr>
        <vertAlign val="superscript"/>
        <sz val="12"/>
        <rFont val="Times New Roman"/>
        <family val="1"/>
      </rPr>
      <t>(1b)</t>
    </r>
  </si>
  <si>
    <r>
      <t xml:space="preserve">Post </t>
    </r>
    <r>
      <rPr>
        <vertAlign val="superscript"/>
        <sz val="12"/>
        <rFont val="Times New Roman"/>
        <family val="1"/>
      </rPr>
      <t>(1), (7)</t>
    </r>
  </si>
  <si>
    <t>Euro Equivalent</t>
  </si>
  <si>
    <t>W.1.2</t>
  </si>
  <si>
    <t>Sub Component</t>
  </si>
  <si>
    <t xml:space="preserve">Preperation meeting for Consultation Workshop of Property Valuation and Registration </t>
  </si>
  <si>
    <t>TS.1-17</t>
  </si>
  <si>
    <t>CS.2</t>
  </si>
  <si>
    <t>CS.3</t>
  </si>
  <si>
    <t>TR.2.1</t>
  </si>
  <si>
    <t>TR.2.2</t>
  </si>
  <si>
    <t>August 2014</t>
  </si>
  <si>
    <t>Base Mapping including Ortophoto and Vector Maps in ADANA-1</t>
  </si>
  <si>
    <t>Base Mapping including Ortophoto and Vector Maps in   ESKISEHIR</t>
  </si>
  <si>
    <t>Base Mapping including Ortophoto and Vector Maps in ADANA-2</t>
  </si>
  <si>
    <t>Base Mapping including Ortophoto and Vector Maps in  ANTALYA</t>
  </si>
  <si>
    <t>Base Mapping including Ortophoto and Vector Maps in CORUM-1</t>
  </si>
  <si>
    <t>Base Mapping including Ortophoto and Vector Maps in SINOP</t>
  </si>
  <si>
    <t>Base Mapping including Ortophoto and Vector Maps in  SAMSUN</t>
  </si>
  <si>
    <t>Base Mapping including Ortophoto and Vector Maps in ELBISTAN</t>
  </si>
  <si>
    <t>Base Mapping including Ortophoto and Vector Maps Group-1 in 2010</t>
  </si>
  <si>
    <t>Base Mapping including Ortophoto and Vector Maps Group-2 in 2011</t>
  </si>
  <si>
    <t>Construction of Bursa Region Directorate Building</t>
  </si>
  <si>
    <t>Design and Supervision of Bursa Regional Directorate Building</t>
  </si>
  <si>
    <t>Cadastral Renovation works in CNR-MRK II</t>
  </si>
  <si>
    <t>Cadastral Renovation works in IST-CTL</t>
  </si>
  <si>
    <t>Cadastral Renovation works in GRS-TRB</t>
  </si>
  <si>
    <t>Cadastral Renovation works in SMS-BFR</t>
  </si>
  <si>
    <t>Cadastral Renovation works in KRK-LLB</t>
  </si>
  <si>
    <t>Cadastral Renovation works in AFY-SLT</t>
  </si>
  <si>
    <t>Cadastral Renovation works in DNZ-MRK</t>
  </si>
  <si>
    <t>Cadastral Renovation works in SVS-SUH</t>
  </si>
  <si>
    <t>Cadastral Renovation works in TKT-ERB</t>
  </si>
  <si>
    <t>Cadastral Renovation works in IZM-CSM</t>
  </si>
  <si>
    <t>Cadastral Renovation works in ANT-ELM</t>
  </si>
  <si>
    <t>Cadastral Renovation works in NGD-ULK</t>
  </si>
  <si>
    <t>Cadastral Renovation works in KHM-MRK</t>
  </si>
  <si>
    <t>Cadastral Renovation works in TKD-MRT</t>
  </si>
  <si>
    <t>Cadastral Renovation works in ESK-TPB II</t>
  </si>
  <si>
    <t>Cadastral Renovation works in KTH-TVS</t>
  </si>
  <si>
    <t>Cadastral Renovation works in MGL-BDR</t>
  </si>
  <si>
    <t>Cadastral Renovation works in USK-BNZ</t>
  </si>
  <si>
    <t>Cadastral Renovation works in KST-MRK</t>
  </si>
  <si>
    <t>Cadastral Renovation works in SVS-MRK II</t>
  </si>
  <si>
    <t>Cadastral Renovation works in TKT-ZLE</t>
  </si>
  <si>
    <t>Cadastral Renovation works in ANK-GDL II</t>
  </si>
  <si>
    <t>Cadastral Renovation works in CNR-IGZ</t>
  </si>
  <si>
    <t>Cadastral Renovation works in AYD-CNE</t>
  </si>
  <si>
    <t>Cadastral Renovation works in ERZ-KRC</t>
  </si>
  <si>
    <t>Cadastral Renovation works in IGD-MRK</t>
  </si>
  <si>
    <t>Cadastral Renovation works in SMS-CNK</t>
  </si>
  <si>
    <t>Cadastral Renovation works in NGD-BOR</t>
  </si>
  <si>
    <t>Cadastral Renovation works in KHM-ELB</t>
  </si>
  <si>
    <t>Cadastral Renovation works in MLT-MRK</t>
  </si>
  <si>
    <t>Cadastral Renovation works in KTH_SMV</t>
  </si>
  <si>
    <t>Cadastral Renovation works in KTH-HSR</t>
  </si>
  <si>
    <t>Cadastral Renovation works in ZNG-MRK</t>
  </si>
  <si>
    <t>Cadastral Renovation works in YZG-SRG II</t>
  </si>
  <si>
    <t>Cadastral Renovation works in CRM-MRK II</t>
  </si>
  <si>
    <t>Group 07 Cadastral Renovation works tenders in 2012</t>
  </si>
  <si>
    <t>Base Mapping including Ortophoto and Vector Maps in Divrigi</t>
  </si>
  <si>
    <t>Base Mapping including Ortophoto and Vector Maps in Trabzon</t>
  </si>
  <si>
    <t>September 2013</t>
  </si>
  <si>
    <t>Cadastral Renovation works tenders in 2013</t>
  </si>
  <si>
    <t>Planned Base Mapping Tenders Group-3 in 2012</t>
  </si>
  <si>
    <t>G.2</t>
  </si>
  <si>
    <t>G.3</t>
  </si>
  <si>
    <t>Base Mapping including Ortophoto and Vector Maps in IZMIR 1</t>
  </si>
  <si>
    <t>G.4</t>
  </si>
  <si>
    <t>International visits to International Seminars related with the context of TKMP</t>
  </si>
  <si>
    <t>Fact Finding Conference within the context of property valuation</t>
  </si>
  <si>
    <r>
      <t>International Study visits within the context of</t>
    </r>
    <r>
      <rPr>
        <strike/>
        <sz val="12"/>
        <rFont val="Times New Roman"/>
        <family val="1"/>
        <charset val="162"/>
      </rPr>
      <t xml:space="preserve"> </t>
    </r>
    <r>
      <rPr>
        <sz val="12"/>
        <rFont val="Times New Roman"/>
        <family val="1"/>
        <charset val="162"/>
      </rPr>
      <t>policy development in the field of property valuation</t>
    </r>
  </si>
  <si>
    <t>Property Valuation Software and Equipment</t>
  </si>
  <si>
    <t xml:space="preserve">International Study visits within the context of modernization of TKGM </t>
  </si>
  <si>
    <t>Consultation Workshop related with policy development of property valuation</t>
  </si>
  <si>
    <t xml:space="preserve">Planning and Training Workshops 2013 for Renovation Works </t>
  </si>
  <si>
    <t xml:space="preserve">Planning and Training Workshops 2012 for Renovation Works </t>
  </si>
  <si>
    <t>April 10, 2012</t>
  </si>
  <si>
    <t>April 10, 2013</t>
  </si>
  <si>
    <t>April 30, 2012</t>
  </si>
  <si>
    <t>TR. 5</t>
  </si>
  <si>
    <t>March 25, 2012</t>
  </si>
  <si>
    <t>CS.6</t>
  </si>
  <si>
    <t>TR. 6</t>
  </si>
  <si>
    <t>G.5</t>
  </si>
  <si>
    <t>Furniture, Equipment and Hardware  for video conferancing facilities</t>
  </si>
  <si>
    <t>Geçici Kabul Euro Yapılan Ödeme</t>
  </si>
  <si>
    <t>April 2013</t>
  </si>
  <si>
    <t>July 2013</t>
  </si>
  <si>
    <r>
      <t xml:space="preserve">International Study visits related with development of </t>
    </r>
    <r>
      <rPr>
        <sz val="12"/>
        <rFont val="Times New Roman"/>
        <family val="1"/>
        <charset val="162"/>
      </rPr>
      <t>Data Consolidation System</t>
    </r>
  </si>
  <si>
    <t xml:space="preserve">the Bank will finance eligible expenditures that are payable only for such goods, works and services that are included </t>
  </si>
  <si>
    <t>the provisions of respective contract. The Bank's no-objection to the procurement plan is subject to the above financing  policy</t>
  </si>
  <si>
    <t>required for goods to be delivered or works to be performed or services to be completed after the Loan closing date of the Project.</t>
  </si>
  <si>
    <t xml:space="preserve">and TKGM's insuring, prior to signing of such contracts, availability of funds from TKGM's own or other resources as may be </t>
  </si>
  <si>
    <t xml:space="preserve">In accordance with the Bank's general policy on financing from the loan account with reference to the loan closing date, </t>
  </si>
  <si>
    <t xml:space="preserve">in the Project and delivered, performed and completed on or before the closing date of the Loan, and in accordance with </t>
  </si>
  <si>
    <t>- The Cadastre Renovation NCB Contract package TS.2 -Group 1 (19 Slices with a total cost of US$23.399,866 equivalent)</t>
  </si>
  <si>
    <t>- The Cadastre Renovation NCB Contract package TS.3 -Group 1 (16 Slices with a total cost of US$14,121,898 equivalent)</t>
  </si>
  <si>
    <t>packaging, method and time schedule before initiating the procurements.</t>
  </si>
  <si>
    <t>documents and also the Bid Evaluation Report.</t>
  </si>
  <si>
    <t xml:space="preserve">was agreed by the Bank on an exceptional basis without setting a precedent. The Bank prior reviewed the master bidding </t>
  </si>
  <si>
    <t>CQS</t>
  </si>
  <si>
    <t>The Bank shall not finance any expenditure due to any contract exceeding the Loan amount and exceeding the Loan closing date. TKGM shall finance the Contracts exceeding the Loan amount and Loan duration from its own resources.</t>
  </si>
  <si>
    <t>CS.9</t>
  </si>
  <si>
    <t>Database &amp; Statistical Economical Analyzes of Valuation Consultant</t>
  </si>
  <si>
    <t>July 2012</t>
  </si>
  <si>
    <t>December 2013</t>
  </si>
  <si>
    <t>Consultants services, base line and follow up surveys</t>
  </si>
  <si>
    <t>May 07, 2012</t>
  </si>
  <si>
    <t>Cadastral Renovation works in CNR-MRK III</t>
  </si>
  <si>
    <t>Cadastral Renovation works in IZM-MND</t>
  </si>
  <si>
    <t>Cadastral Renovation works in BLK-MRK II</t>
  </si>
  <si>
    <t>Cadastral Renovation works in ANT-MNV</t>
  </si>
  <si>
    <t>Cadastral Renovation works in ISP-EGR</t>
  </si>
  <si>
    <t>Cadastral Renovation works in AMS-TAS</t>
  </si>
  <si>
    <t>Cadastral Renovation works in KYS-TMZ</t>
  </si>
  <si>
    <t>Cadastral Renovation works in KHR-KMN</t>
  </si>
  <si>
    <t>Cadastral Renovation works in KRL-BBS</t>
  </si>
  <si>
    <t>Cadastral Renovation works in AFY-MRK</t>
  </si>
  <si>
    <t>Cadastral Renovation works in KST-TAS</t>
  </si>
  <si>
    <t>Cadastral Renovation works in SVS-ZRA</t>
  </si>
  <si>
    <t>Cadastral Renovation works in TKT-TRH</t>
  </si>
  <si>
    <t>TR.2.3</t>
  </si>
  <si>
    <t>December 2014</t>
  </si>
  <si>
    <t>TR. 7</t>
  </si>
  <si>
    <t>International Congress related with policy development in the field of Turkish Cadastre Implementations</t>
  </si>
  <si>
    <t>Original Cost / Allocation (US$)</t>
  </si>
  <si>
    <t>Original Cost/Allocation (Euro)                    1.5039 USD = 1 Euro</t>
  </si>
  <si>
    <t>Current Cost/Allocation (Euro)</t>
  </si>
  <si>
    <t>Difference (Euro)</t>
  </si>
  <si>
    <t>1. Cadastre and Land Registry Renovations and Updating</t>
  </si>
  <si>
    <t xml:space="preserve">1.1 Cadastre Renovation </t>
  </si>
  <si>
    <t>1.2 Base Mapping</t>
  </si>
  <si>
    <t xml:space="preserve">1.3 Supervision and Quality Control </t>
  </si>
  <si>
    <t>2. Improved Service Delivery</t>
  </si>
  <si>
    <t>2.1 Cadastre Integration Consultancy Support</t>
  </si>
  <si>
    <t>2.2 Model Office Construction /Renovation</t>
  </si>
  <si>
    <t>2.3 Integration of E-cadastre into the NSDI</t>
  </si>
  <si>
    <t>3. Human Resources and Institutional Development</t>
  </si>
  <si>
    <t>3.1. Human Resources Development Strategy</t>
  </si>
  <si>
    <t>3.2 Business Planning and Strategic Planning</t>
  </si>
  <si>
    <t>3.3. Training and Study Visits</t>
  </si>
  <si>
    <t>4. Property Valuation</t>
  </si>
  <si>
    <t>4.1. Policy Development</t>
  </si>
  <si>
    <t>4.2. Pilot Implementation</t>
  </si>
  <si>
    <t>4.3. Capacity Building</t>
  </si>
  <si>
    <t>5. Project Management</t>
  </si>
  <si>
    <t>6. Unallocated</t>
  </si>
  <si>
    <t>Base Mapping including Ortophoto and Vector Maps in Edirne</t>
  </si>
  <si>
    <t>Base Mapping including Ortophoto and Vector Maps in Sivas</t>
  </si>
  <si>
    <t>April 30, 2014</t>
  </si>
  <si>
    <t>September 2014</t>
  </si>
  <si>
    <t>June 2012</t>
  </si>
  <si>
    <t>01 January 2012 - 31 December 2014</t>
  </si>
  <si>
    <t>31 December 2014</t>
  </si>
  <si>
    <r>
      <t xml:space="preserve">Bid packages (more than one slice) valued  in total &lt; $20,000,000 - </t>
    </r>
    <r>
      <rPr>
        <b/>
        <sz val="12"/>
        <rFont val="Times New Roman"/>
        <family val="1"/>
      </rPr>
      <t xml:space="preserve">Technical Services       </t>
    </r>
    <r>
      <rPr>
        <sz val="12"/>
        <rFont val="Times New Roman"/>
        <family val="1"/>
      </rPr>
      <t xml:space="preserve">     </t>
    </r>
  </si>
  <si>
    <t>All Works contracts valued ≥ $5,000,000                                                                                                     and irrespective of its value first contract for Works</t>
  </si>
  <si>
    <t>All Technical Services bid packages (more than one slice) in total valued                                    ≥ $15,000,000                                                                                                     and irrespective of its value first contract for Technical Services</t>
  </si>
  <si>
    <t xml:space="preserve">All Goods contracts valued ≥ $1,000,000 and irrespective of their value first ICB contract for Goods                                                                                                     </t>
  </si>
  <si>
    <t>All Technical Services bid packages (more than one slice) in total valued                                    ≥ $15,000,000                                                                                                     and irrespective of its value first ICB contract for Technical Services</t>
  </si>
  <si>
    <t xml:space="preserve">All Works contracts valued ≥ $5,000,000 and irrespective of its value first ICB contract for Works                                                                                                   </t>
  </si>
  <si>
    <t>First NCB contract for Goods</t>
  </si>
  <si>
    <t>No threshold</t>
  </si>
  <si>
    <t>than US$ 300,000 equivalent per contract, may comprise entirely of national consultants in accordance with provisions</t>
  </si>
  <si>
    <t>Irrespective of contract amount (i) first contract of QCBS package; and (ii) first package of each other selection methods subject to prior review</t>
  </si>
  <si>
    <t>Irrespective of its estimated cost the first package of each category (i.e. NCB works, technical services and Goods) is subject to prior review.</t>
  </si>
  <si>
    <r>
      <t>Post</t>
    </r>
    <r>
      <rPr>
        <vertAlign val="superscript"/>
        <sz val="12"/>
        <rFont val="Times New Roman"/>
        <family val="1"/>
      </rPr>
      <t>(1b)</t>
    </r>
  </si>
  <si>
    <t xml:space="preserve">Irrespective of its value first package of any QCBS and first package of each other selection procedure is subject to prior review. </t>
  </si>
  <si>
    <r>
      <t>Post</t>
    </r>
    <r>
      <rPr>
        <vertAlign val="superscript"/>
        <sz val="12"/>
        <rFont val="Times New Roman"/>
        <family val="1"/>
        <charset val="162"/>
      </rPr>
      <t xml:space="preserve"> </t>
    </r>
  </si>
  <si>
    <t>TOTAL WORKS</t>
  </si>
  <si>
    <r>
      <t xml:space="preserve">GRAND TOTAL (US$ million)(€ million) </t>
    </r>
    <r>
      <rPr>
        <b/>
        <vertAlign val="superscript"/>
        <sz val="12"/>
        <rFont val="Times New Roman"/>
        <family val="1"/>
      </rPr>
      <t>(5)(8)</t>
    </r>
  </si>
  <si>
    <r>
      <t xml:space="preserve">     Estimated Cost(US$) </t>
    </r>
    <r>
      <rPr>
        <b/>
        <vertAlign val="superscript"/>
        <sz val="12"/>
        <rFont val="Times New Roman"/>
        <family val="1"/>
      </rPr>
      <t>(5), (8)</t>
    </r>
  </si>
  <si>
    <t>CQS:</t>
  </si>
  <si>
    <t>The selection of any audit, procurement or legal consultants financed by the project, even those are below</t>
  </si>
  <si>
    <t>Cadastral Renovation works in ANK-KZN II</t>
  </si>
  <si>
    <t>Cadastral Renovation works in KRK-KSN</t>
  </si>
  <si>
    <t>Cadastral Renovation works in KNY-ERG</t>
  </si>
  <si>
    <t>Cadastral Renovation works in KNY-ERG II</t>
  </si>
  <si>
    <t>Cadastral Renovation works in KRM-MRK II</t>
  </si>
  <si>
    <t>Cadastral Renovation works in ANT-KAS</t>
  </si>
  <si>
    <t>Cadastral Renovation works in TRB-VKR</t>
  </si>
  <si>
    <t>Cadastral Renovation works in BYB-MRK</t>
  </si>
  <si>
    <t>Cadastral Renovation works in AMS-MRK II</t>
  </si>
  <si>
    <t>Cadastral Renovation works in ORD-UNY II</t>
  </si>
  <si>
    <t>Cadastral Renovation works in SNP-MRK</t>
  </si>
  <si>
    <t>Cadastral Renovation works in SMS-CRS</t>
  </si>
  <si>
    <t>Cadastral Renovation works in HTY-ANT III</t>
  </si>
  <si>
    <t>Cadastral Renovation works in ESK-ODZ</t>
  </si>
  <si>
    <t>Cadastral Renovation works in MNS-ALH</t>
  </si>
  <si>
    <t>Cadastral Renovation works in AKS-MRK</t>
  </si>
  <si>
    <t>Cadastral Renovation works in ANT-GZP</t>
  </si>
  <si>
    <t>Cadastral Renovation works in ISP-SKC</t>
  </si>
  <si>
    <t>Cadastral Renovation works in GMH-KLT</t>
  </si>
  <si>
    <t>Cadastral Renovation works in RZE-MRK</t>
  </si>
  <si>
    <t>Cadastral Renovation works in KYS-SRZ</t>
  </si>
  <si>
    <t>Cadastral Renovation works in HTY-ANT II</t>
  </si>
  <si>
    <t>Cadastral Renovation works in KHM-AFN</t>
  </si>
  <si>
    <t>Cadastral Renovation works in BTS_MRK</t>
  </si>
  <si>
    <t>Cadastral Renovation works in BLC-MRK</t>
  </si>
  <si>
    <t>Cadastral Renovation works in AFY-CBR</t>
  </si>
  <si>
    <t>Cadastral Renovation works in USK-MRK II</t>
  </si>
  <si>
    <t>Cadastral Renovation works in ZNG-ERG</t>
  </si>
  <si>
    <t>Cadastral Renovation works in YZG-BGZ II</t>
  </si>
  <si>
    <t>Cadastral Renovation works in CRM-MRK III</t>
  </si>
  <si>
    <t xml:space="preserve">Construction of two Model Office Building </t>
  </si>
  <si>
    <t>Group 12 Cadastral Renovation works tenders in 2013</t>
  </si>
  <si>
    <t xml:space="preserve">Construction Supervision of Two Model Offices </t>
  </si>
  <si>
    <t>Furniture, equipment, hardware, software for two Model Offices</t>
  </si>
  <si>
    <t>International Valuation Consultants</t>
  </si>
  <si>
    <t>Cadastral Renovation works in CNR-YPR</t>
  </si>
  <si>
    <t>Cadastral Renovation works in IZM-MDN II</t>
  </si>
  <si>
    <t>Cadastral Renovation works in KRS-MRK</t>
  </si>
  <si>
    <t>Cadastral Renovation works in TRB-MRK II</t>
  </si>
  <si>
    <t>Cadastral Renovation works in GRS-MRK II</t>
  </si>
  <si>
    <t>Cadastral Renovation works in KHR-MCR</t>
  </si>
  <si>
    <t>Cadastral Renovation works in MRS-ADZ</t>
  </si>
  <si>
    <t>Cadastral Renovation works in MUS-MRK</t>
  </si>
  <si>
    <t>Cadastral Renovation works in BLC-INH</t>
  </si>
  <si>
    <t>Cadastral Renovation works in DNZ-CVR</t>
  </si>
  <si>
    <t>Cadastral Renovation works in MGL-BDR II</t>
  </si>
  <si>
    <t>Cadastral Renovation works in TKT-ZLE II</t>
  </si>
  <si>
    <t>For Contracts till October, 2011 1 € = 1.5039 US$ (rate as of Feb 29, 2008 in the PAD),  For Contracts after November, 2012 1 € = 1.3359 US$  (Ministry of Development Reference Currency Rate for 2012)</t>
  </si>
  <si>
    <t>Consultant services, Social and Economic Assessment</t>
  </si>
  <si>
    <t>Training Consultant for Project Management 2012</t>
  </si>
  <si>
    <t>Training Consultant for Project Management 2013</t>
  </si>
  <si>
    <t>April 10, 2014</t>
  </si>
  <si>
    <t>April 30, 2013</t>
  </si>
  <si>
    <t>Group 13 Cadastral Renovation works tenders in 2013</t>
  </si>
  <si>
    <t>TR.1.2</t>
  </si>
  <si>
    <t>TR.1.3</t>
  </si>
  <si>
    <t>TR.1.4</t>
  </si>
  <si>
    <t>CS.4</t>
  </si>
  <si>
    <t>CS.7</t>
  </si>
  <si>
    <t>CS.8</t>
  </si>
  <si>
    <t>TS.14</t>
  </si>
  <si>
    <t xml:space="preserve">Planning and Training Workshops 2014 for Renovation Works </t>
  </si>
  <si>
    <t>PROCUREMENT  PACKAGES WITH METHOD AND TIME SCHEDULE  (Procurement Plan Revision No: 4.0, Period: 01 Jan 2012 - 31 Dec 2014)</t>
  </si>
  <si>
    <t>Revision No: 4.0</t>
  </si>
  <si>
    <t>August 2013</t>
  </si>
  <si>
    <t>Feb 2013</t>
  </si>
  <si>
    <t>October 2013</t>
  </si>
  <si>
    <t>Group 11 Cadastral Renovation works tenders in 2012</t>
  </si>
  <si>
    <t>TS.15</t>
  </si>
  <si>
    <t>TS.15.1</t>
  </si>
  <si>
    <t>TS.15.2</t>
  </si>
  <si>
    <t>TS.20</t>
  </si>
  <si>
    <t>TS.21</t>
  </si>
  <si>
    <r>
      <t xml:space="preserve">Post </t>
    </r>
    <r>
      <rPr>
        <vertAlign val="superscript"/>
        <sz val="12"/>
        <rFont val="Times New Roman"/>
        <family val="1"/>
        <charset val="162"/>
      </rPr>
      <t>(1b)</t>
    </r>
  </si>
  <si>
    <t xml:space="preserve">Pilot Implementation - Technical Services for the collection of Pilot Data </t>
  </si>
  <si>
    <t>Pilot Implementation - Technical Services for Data Collection for the pilot implementation area in Fatih and Mamak Region</t>
  </si>
  <si>
    <t>Pilot Implementation - Technical Services for Data Collection for the pilot implementation in Throughout the Country</t>
  </si>
  <si>
    <t>Database Server, Storage Hardware and IT equipments for Base Mapping  &amp; IT Equipments related with Data Consolidation System</t>
  </si>
  <si>
    <t>2.3 &amp; 1.2</t>
  </si>
  <si>
    <t>Cadastral Renovation works in ANK-CBK</t>
  </si>
  <si>
    <t>Cadastral Renovation works in ANK-SCN</t>
  </si>
  <si>
    <t>Cadastral Renovation works in SKY-GYV</t>
  </si>
  <si>
    <t>Cadastral Renovation works in AYD-MRK</t>
  </si>
  <si>
    <t>Cadastral Renovation works in CNK-BIG II</t>
  </si>
  <si>
    <t>Cadastral Renovation works in YLV-CNR</t>
  </si>
  <si>
    <t>Cadastral Renovation works in BRD-MRK</t>
  </si>
  <si>
    <t>Cadastral Renovation works in ERC-MRK</t>
  </si>
  <si>
    <t>Cadastral Renovation works in IGD-MRK II</t>
  </si>
  <si>
    <t>Cadastral Renovation works in RZE-MRK II</t>
  </si>
  <si>
    <t>Cadastral Renovation works in ADN-CYH</t>
  </si>
  <si>
    <t>Cadastral Renovation works in BTS-TTN</t>
  </si>
  <si>
    <t>Planned Base Mapping Tenders Group-5 in 2013</t>
  </si>
  <si>
    <t>TS.21-22</t>
  </si>
  <si>
    <t>TS.22</t>
  </si>
  <si>
    <t>May 07, 2013</t>
  </si>
  <si>
    <t>March 19, 2013</t>
  </si>
  <si>
    <t>Base Mapping including Ortophoto and Vector Maps in ADANA</t>
  </si>
  <si>
    <t>Base Mapping including Ortophoto and Vector Maps in UŞAK</t>
  </si>
  <si>
    <t>SSS</t>
  </si>
  <si>
    <t>TS.13</t>
  </si>
  <si>
    <t>TS.15-20</t>
  </si>
  <si>
    <t xml:space="preserve">- The details (number of contract slices, estimated cost of each slice, location etc.) of procurement packages of TS.14; </t>
  </si>
  <si>
    <t xml:space="preserve">and TS.20 shall be furnished to the Bank and Bank's concurrence shall be obtained on the procurement </t>
  </si>
  <si>
    <t>March 15, 2014</t>
  </si>
  <si>
    <t>Revision 3.0: 06 June 2012; Revison 4.0: 08 March 2013</t>
  </si>
  <si>
    <t>Default Method (No procurement method threshold)</t>
  </si>
  <si>
    <t>Planned Base Mapping Tenders Group-4 in 2013</t>
  </si>
  <si>
    <t>Default Method (No selection method threshold)</t>
  </si>
  <si>
    <t>No selection method threshold</t>
  </si>
  <si>
    <t xml:space="preserve">Expected Bid-Open. Date/ Proposal submission date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</si>
</sst>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00\ _T_L_-;\-* #,##0.00\ _T_L_-;_-* &quot;-&quot;??\ _T_L_-;_-@_-"/>
    <numFmt numFmtId="165" formatCode="mmm\ yyyy"/>
    <numFmt numFmtId="166" formatCode="#,##0.00\ _T_L"/>
    <numFmt numFmtId="167" formatCode="[$-409]mmmm\ d\,\ yyyy;@"/>
    <numFmt numFmtId="168" formatCode="d\-mmm\-yyyy"/>
    <numFmt numFmtId="169" formatCode="#,##0.000"/>
    <numFmt numFmtId="170" formatCode="#,##0.0000"/>
    <numFmt numFmtId="171" formatCode="#,##0.00000000000"/>
    <numFmt numFmtId="172" formatCode="#,##0.000000"/>
    <numFmt numFmtId="173" formatCode="[$$-409]#,##0.00"/>
  </numFmts>
  <fonts count="41" x14ac:knownFonts="1">
    <font>
      <sz val="10"/>
      <name val="Arial"/>
    </font>
    <font>
      <b/>
      <sz val="12"/>
      <name val="Times New Roman"/>
      <family val="1"/>
    </font>
    <font>
      <b/>
      <sz val="12"/>
      <name val="Times New Roman"/>
      <family val="1"/>
      <charset val="162"/>
    </font>
    <font>
      <sz val="12"/>
      <name val="Times New Roman"/>
      <family val="1"/>
      <charset val="162"/>
    </font>
    <font>
      <sz val="12"/>
      <name val="Times New Roman"/>
      <family val="1"/>
    </font>
    <font>
      <b/>
      <vertAlign val="superscript"/>
      <sz val="12"/>
      <name val="Times New Roman"/>
      <family val="1"/>
      <charset val="162"/>
    </font>
    <font>
      <vertAlign val="superscript"/>
      <sz val="12"/>
      <name val="Times New Roman"/>
      <family val="1"/>
      <charset val="162"/>
    </font>
    <font>
      <b/>
      <u/>
      <sz val="12"/>
      <name val="Times New Roman"/>
      <family val="1"/>
      <charset val="162"/>
    </font>
    <font>
      <sz val="10"/>
      <name val="Arial"/>
      <family val="2"/>
      <charset val="162"/>
    </font>
    <font>
      <sz val="12"/>
      <color indexed="8"/>
      <name val="Times New Roman"/>
      <family val="1"/>
      <charset val="162"/>
    </font>
    <font>
      <sz val="12"/>
      <name val="Arial"/>
      <family val="2"/>
    </font>
    <font>
      <b/>
      <sz val="12"/>
      <name val="Arial"/>
      <family val="2"/>
    </font>
    <font>
      <sz val="10"/>
      <name val="Times New Roman"/>
      <family val="1"/>
    </font>
    <font>
      <b/>
      <sz val="14"/>
      <name val="Arial"/>
      <family val="2"/>
    </font>
    <font>
      <sz val="10"/>
      <name val="Arial"/>
      <family val="2"/>
    </font>
    <font>
      <b/>
      <vertAlign val="superscript"/>
      <sz val="12"/>
      <name val="Times New Roman"/>
      <family val="1"/>
    </font>
    <font>
      <sz val="8"/>
      <name val="Arial"/>
      <family val="2"/>
      <charset val="162"/>
    </font>
    <font>
      <i/>
      <sz val="12"/>
      <name val="Times New Roman"/>
      <family val="1"/>
      <charset val="162"/>
    </font>
    <font>
      <b/>
      <sz val="14"/>
      <name val="Times New Roman"/>
      <family val="1"/>
    </font>
    <font>
      <sz val="10"/>
      <name val="Times New Roman"/>
      <family val="1"/>
      <charset val="162"/>
    </font>
    <font>
      <b/>
      <sz val="14"/>
      <name val="Times New Roman"/>
      <family val="1"/>
      <charset val="162"/>
    </font>
    <font>
      <sz val="12"/>
      <color indexed="9"/>
      <name val="Times New Roman"/>
      <family val="1"/>
      <charset val="162"/>
    </font>
    <font>
      <vertAlign val="superscript"/>
      <sz val="12"/>
      <name val="Times New Roman"/>
      <family val="1"/>
    </font>
    <font>
      <strike/>
      <sz val="12"/>
      <name val="Times New Roman"/>
      <family val="1"/>
      <charset val="162"/>
    </font>
    <font>
      <b/>
      <sz val="12"/>
      <color rgb="FFFF0000"/>
      <name val="Times New Roman"/>
      <family val="1"/>
    </font>
    <font>
      <sz val="12"/>
      <color theme="0"/>
      <name val="Times New Roman"/>
      <family val="1"/>
    </font>
    <font>
      <sz val="10"/>
      <color rgb="FFFF0000"/>
      <name val="Arial"/>
      <family val="2"/>
      <charset val="162"/>
    </font>
    <font>
      <b/>
      <sz val="14"/>
      <color rgb="FFFF0000"/>
      <name val="Arial"/>
      <family val="2"/>
      <charset val="162"/>
    </font>
    <font>
      <sz val="12"/>
      <color rgb="FFFF0000"/>
      <name val="Times New Roman"/>
      <family val="1"/>
    </font>
    <font>
      <sz val="12"/>
      <color theme="1"/>
      <name val="Arial"/>
      <family val="2"/>
    </font>
    <font>
      <sz val="12"/>
      <color theme="1"/>
      <name val="Times New Roman"/>
      <family val="1"/>
    </font>
    <font>
      <sz val="12"/>
      <color theme="1"/>
      <name val="Times New Roman"/>
      <family val="1"/>
      <charset val="162"/>
    </font>
    <font>
      <sz val="10"/>
      <color theme="1"/>
      <name val="Times New Roman"/>
      <family val="1"/>
      <charset val="162"/>
    </font>
    <font>
      <sz val="12"/>
      <color theme="2"/>
      <name val="Times New Roman"/>
      <family val="1"/>
      <charset val="162"/>
    </font>
    <font>
      <b/>
      <sz val="12"/>
      <color theme="0"/>
      <name val="Times New Roman"/>
      <family val="1"/>
      <charset val="162"/>
    </font>
    <font>
      <sz val="12"/>
      <color theme="0"/>
      <name val="Times New Roman"/>
      <family val="1"/>
      <charset val="162"/>
    </font>
    <font>
      <b/>
      <sz val="12"/>
      <color theme="0"/>
      <name val="Times New Roman"/>
      <family val="1"/>
    </font>
    <font>
      <sz val="12"/>
      <color theme="0"/>
      <name val="Arial"/>
      <family val="2"/>
      <charset val="162"/>
    </font>
    <font>
      <sz val="10"/>
      <color theme="0"/>
      <name val="Times New Roman"/>
      <family val="1"/>
      <charset val="162"/>
    </font>
    <font>
      <b/>
      <sz val="14"/>
      <color theme="0"/>
      <name val="Times New Roman"/>
      <family val="1"/>
      <charset val="162"/>
    </font>
    <font>
      <sz val="12"/>
      <color theme="0"/>
      <name val="Arial Tur"/>
      <charset val="162"/>
    </font>
  </fonts>
  <fills count="12">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27"/>
        <bgColor indexed="64"/>
      </patternFill>
    </fill>
    <fill>
      <patternFill patternType="solid">
        <fgColor rgb="FFFFCCFF"/>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s>
  <borders count="4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double">
        <color indexed="64"/>
      </left>
      <right/>
      <top style="double">
        <color indexed="64"/>
      </top>
      <bottom/>
      <diagonal/>
    </border>
    <border>
      <left style="medium">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s>
  <cellStyleXfs count="2">
    <xf numFmtId="0" fontId="0" fillId="0" borderId="0"/>
    <xf numFmtId="43" fontId="8" fillId="0" borderId="0" applyFont="0" applyFill="0" applyBorder="0" applyAlignment="0" applyProtection="0"/>
  </cellStyleXfs>
  <cellXfs count="599">
    <xf numFmtId="0" fontId="0" fillId="0" borderId="0" xfId="0"/>
    <xf numFmtId="0" fontId="4" fillId="0" borderId="0" xfId="0" applyFont="1" applyFill="1" applyAlignment="1">
      <alignment vertical="center"/>
    </xf>
    <xf numFmtId="0" fontId="1" fillId="0" borderId="1" xfId="0" applyFont="1" applyBorder="1" applyAlignment="1">
      <alignment horizontal="center" vertical="center"/>
    </xf>
    <xf numFmtId="0" fontId="4" fillId="0" borderId="2" xfId="0" applyFont="1" applyFill="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1" fillId="0" borderId="2" xfId="0" applyFont="1" applyBorder="1" applyAlignment="1">
      <alignment horizontal="right" vertical="center"/>
    </xf>
    <xf numFmtId="0" fontId="4" fillId="0" borderId="1" xfId="0" applyFont="1" applyBorder="1" applyAlignment="1">
      <alignment vertical="center"/>
    </xf>
    <xf numFmtId="0" fontId="4" fillId="0" borderId="0" xfId="0" applyFont="1" applyFill="1" applyBorder="1" applyAlignment="1">
      <alignment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vertical="center"/>
    </xf>
    <xf numFmtId="0" fontId="1" fillId="0" borderId="2" xfId="0" applyFont="1" applyFill="1" applyBorder="1" applyAlignment="1">
      <alignment horizontal="right" vertical="center"/>
    </xf>
    <xf numFmtId="0" fontId="7" fillId="0" borderId="0" xfId="0" applyFont="1" applyFill="1" applyAlignment="1">
      <alignment horizontal="left"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horizontal="left" vertical="center"/>
    </xf>
    <xf numFmtId="0" fontId="1" fillId="0" borderId="4" xfId="0" applyFont="1" applyBorder="1" applyAlignment="1">
      <alignment horizontal="center" vertical="center"/>
    </xf>
    <xf numFmtId="3" fontId="4" fillId="0" borderId="0" xfId="0" applyNumberFormat="1" applyFont="1" applyFill="1" applyBorder="1" applyAlignment="1">
      <alignment vertical="center"/>
    </xf>
    <xf numFmtId="0" fontId="1" fillId="0" borderId="0" xfId="0" applyFont="1" applyBorder="1" applyAlignment="1">
      <alignment horizontal="center" vertical="center"/>
    </xf>
    <xf numFmtId="3" fontId="4" fillId="0" borderId="2" xfId="0" applyNumberFormat="1" applyFont="1" applyFill="1" applyBorder="1" applyAlignment="1">
      <alignment horizontal="right"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0" fontId="1" fillId="0" borderId="5" xfId="0" applyFont="1" applyBorder="1" applyAlignment="1">
      <alignment horizontal="center" vertical="center"/>
    </xf>
    <xf numFmtId="3" fontId="2" fillId="0" borderId="2" xfId="0" applyNumberFormat="1" applyFont="1" applyFill="1" applyBorder="1" applyAlignment="1">
      <alignment vertical="center"/>
    </xf>
    <xf numFmtId="0" fontId="2" fillId="0" borderId="0" xfId="0" applyFont="1" applyFill="1" applyBorder="1" applyAlignment="1">
      <alignment horizontal="righ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1" fillId="0" borderId="6"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6" xfId="0" applyFont="1" applyFill="1" applyBorder="1" applyAlignment="1">
      <alignment vertical="center"/>
    </xf>
    <xf numFmtId="0" fontId="3" fillId="0" borderId="0" xfId="0" applyFont="1" applyAlignment="1">
      <alignment horizontal="left" vertical="center" wrapText="1"/>
    </xf>
    <xf numFmtId="3" fontId="1" fillId="0" borderId="4" xfId="0" applyNumberFormat="1" applyFont="1" applyBorder="1" applyAlignment="1">
      <alignment horizontal="center" vertical="center"/>
    </xf>
    <xf numFmtId="3" fontId="1" fillId="0" borderId="6" xfId="0" applyNumberFormat="1" applyFont="1" applyFill="1" applyBorder="1" applyAlignment="1">
      <alignment horizontal="center" vertical="center" wrapText="1"/>
    </xf>
    <xf numFmtId="3" fontId="4" fillId="0" borderId="0" xfId="0" applyNumberFormat="1" applyFont="1" applyBorder="1" applyAlignment="1">
      <alignment vertical="center"/>
    </xf>
    <xf numFmtId="3" fontId="4" fillId="0" borderId="0" xfId="0" applyNumberFormat="1" applyFont="1" applyFill="1" applyAlignment="1">
      <alignment vertical="center"/>
    </xf>
    <xf numFmtId="3" fontId="4" fillId="0" borderId="0" xfId="0" applyNumberFormat="1" applyFont="1" applyAlignment="1">
      <alignment vertical="center"/>
    </xf>
    <xf numFmtId="0" fontId="1" fillId="0" borderId="0" xfId="0" applyFont="1" applyFill="1" applyBorder="1" applyAlignment="1">
      <alignment horizontal="right" vertical="center"/>
    </xf>
    <xf numFmtId="3" fontId="1" fillId="0" borderId="0" xfId="0" applyNumberFormat="1" applyFont="1" applyFill="1" applyBorder="1" applyAlignment="1">
      <alignment vertical="center"/>
    </xf>
    <xf numFmtId="4" fontId="1" fillId="0" borderId="2" xfId="0" applyNumberFormat="1" applyFont="1" applyFill="1" applyBorder="1" applyAlignment="1">
      <alignment vertical="center"/>
    </xf>
    <xf numFmtId="0" fontId="1" fillId="0" borderId="0" xfId="0" applyFont="1" applyBorder="1" applyAlignment="1">
      <alignment horizontal="right" vertical="center"/>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 xfId="0" applyFont="1" applyBorder="1" applyAlignment="1">
      <alignment horizontal="right" vertical="center"/>
    </xf>
    <xf numFmtId="0" fontId="1" fillId="0" borderId="5" xfId="0" applyFont="1" applyBorder="1" applyAlignment="1">
      <alignment horizontal="right" vertical="center"/>
    </xf>
    <xf numFmtId="167"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2" fillId="0" borderId="1" xfId="0" applyFont="1" applyBorder="1" applyAlignment="1">
      <alignment vertical="center" wrapText="1"/>
    </xf>
    <xf numFmtId="0" fontId="2" fillId="0" borderId="5" xfId="0" applyFont="1" applyBorder="1" applyAlignment="1">
      <alignment vertical="center" wrapText="1"/>
    </xf>
    <xf numFmtId="0" fontId="3" fillId="0" borderId="2" xfId="0" applyFont="1" applyBorder="1" applyAlignment="1">
      <alignment horizontal="center" vertical="center" wrapText="1"/>
    </xf>
    <xf numFmtId="0" fontId="3" fillId="0" borderId="0" xfId="0" applyFont="1" applyFill="1" applyBorder="1" applyAlignment="1">
      <alignment vertical="center"/>
    </xf>
    <xf numFmtId="49" fontId="3" fillId="0" borderId="2" xfId="0" applyNumberFormat="1" applyFont="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9" xfId="0" applyFont="1" applyBorder="1" applyAlignment="1">
      <alignment horizontal="center" vertical="center"/>
    </xf>
    <xf numFmtId="0" fontId="3" fillId="0" borderId="1" xfId="0" applyFont="1" applyFill="1" applyBorder="1" applyAlignment="1">
      <alignment horizontal="center" vertical="center"/>
    </xf>
    <xf numFmtId="49" fontId="2" fillId="0" borderId="2" xfId="0" applyNumberFormat="1" applyFont="1" applyBorder="1" applyAlignment="1">
      <alignment horizontal="left" vertical="center" wrapText="1"/>
    </xf>
    <xf numFmtId="0" fontId="3" fillId="0" borderId="5" xfId="0" applyFont="1" applyBorder="1" applyAlignment="1">
      <alignment horizontal="left" vertical="center" wrapText="1"/>
    </xf>
    <xf numFmtId="49" fontId="2" fillId="0" borderId="10" xfId="0" applyNumberFormat="1" applyFont="1" applyFill="1" applyBorder="1" applyAlignment="1">
      <alignment horizontal="center" vertical="center" wrapText="1"/>
    </xf>
    <xf numFmtId="0" fontId="4" fillId="0" borderId="10" xfId="0" applyFont="1" applyFill="1" applyBorder="1" applyAlignment="1">
      <alignment horizontal="center" vertical="center"/>
    </xf>
    <xf numFmtId="49" fontId="4" fillId="0" borderId="10"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49" fontId="2" fillId="0" borderId="0" xfId="0" applyNumberFormat="1" applyFont="1" applyFill="1" applyAlignment="1">
      <alignment horizontal="left" vertical="center"/>
    </xf>
    <xf numFmtId="0" fontId="3" fillId="0" borderId="0" xfId="0" applyFont="1" applyFill="1" applyAlignment="1">
      <alignment horizontal="left" vertical="center" wrapText="1"/>
    </xf>
    <xf numFmtId="3" fontId="4" fillId="0" borderId="2" xfId="0" applyNumberFormat="1"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Border="1"/>
    <xf numFmtId="0" fontId="0" fillId="0" borderId="3" xfId="0" applyBorder="1"/>
    <xf numFmtId="0" fontId="10" fillId="0" borderId="0" xfId="0" applyFont="1" applyBorder="1"/>
    <xf numFmtId="0" fontId="11" fillId="0" borderId="0" xfId="0" applyFont="1" applyBorder="1"/>
    <xf numFmtId="0" fontId="10" fillId="0" borderId="0" xfId="0" applyFont="1"/>
    <xf numFmtId="0" fontId="10" fillId="0" borderId="14" xfId="0" applyFont="1" applyBorder="1"/>
    <xf numFmtId="0" fontId="10" fillId="0" borderId="3" xfId="0" applyFont="1" applyBorder="1"/>
    <xf numFmtId="0" fontId="1" fillId="2" borderId="2" xfId="0" applyFont="1" applyFill="1" applyBorder="1" applyAlignment="1">
      <alignment horizontal="center" vertical="center" wrapText="1"/>
    </xf>
    <xf numFmtId="0" fontId="11" fillId="0" borderId="0" xfId="0" applyFont="1" applyAlignment="1"/>
    <xf numFmtId="0" fontId="11" fillId="0" borderId="14" xfId="0" applyFont="1" applyBorder="1" applyAlignment="1"/>
    <xf numFmtId="0" fontId="13" fillId="0" borderId="0" xfId="0" applyFont="1" applyAlignment="1"/>
    <xf numFmtId="0" fontId="13" fillId="0" borderId="14" xfId="0" applyFont="1" applyBorder="1" applyAlignment="1"/>
    <xf numFmtId="0" fontId="0" fillId="0" borderId="8" xfId="0" applyBorder="1"/>
    <xf numFmtId="0" fontId="0" fillId="0" borderId="15" xfId="0" applyBorder="1"/>
    <xf numFmtId="0" fontId="0" fillId="0" borderId="7" xfId="0" applyBorder="1"/>
    <xf numFmtId="0" fontId="14" fillId="0" borderId="0" xfId="0" applyFont="1" applyBorder="1"/>
    <xf numFmtId="0" fontId="10" fillId="0" borderId="0" xfId="0" quotePrefix="1" applyFont="1" applyBorder="1"/>
    <xf numFmtId="0" fontId="1" fillId="3" borderId="1" xfId="0" applyFont="1" applyFill="1" applyBorder="1" applyAlignment="1">
      <alignment horizontal="center" vertical="center"/>
    </xf>
    <xf numFmtId="0" fontId="1" fillId="3" borderId="4" xfId="0" applyFont="1" applyFill="1" applyBorder="1" applyAlignment="1">
      <alignment horizontal="left" vertical="center"/>
    </xf>
    <xf numFmtId="0" fontId="4" fillId="3" borderId="4" xfId="0" applyFont="1" applyFill="1" applyBorder="1" applyAlignment="1">
      <alignment vertical="center"/>
    </xf>
    <xf numFmtId="0" fontId="4" fillId="3" borderId="4" xfId="0" applyFont="1" applyFill="1" applyBorder="1" applyAlignment="1">
      <alignment horizontal="center" vertical="center"/>
    </xf>
    <xf numFmtId="3" fontId="4" fillId="3" borderId="4" xfId="0" applyNumberFormat="1" applyFont="1" applyFill="1" applyBorder="1" applyAlignment="1">
      <alignment vertical="center"/>
    </xf>
    <xf numFmtId="0" fontId="4" fillId="3" borderId="5" xfId="0" applyFont="1" applyFill="1" applyBorder="1" applyAlignment="1">
      <alignment vertical="center"/>
    </xf>
    <xf numFmtId="0" fontId="1" fillId="3" borderId="4" xfId="0" applyFont="1" applyFill="1" applyBorder="1" applyAlignment="1">
      <alignment vertical="center"/>
    </xf>
    <xf numFmtId="0" fontId="3" fillId="0" borderId="0" xfId="0" applyFont="1" applyAlignment="1">
      <alignment horizontal="left" vertical="center"/>
    </xf>
    <xf numFmtId="0" fontId="10" fillId="0" borderId="0" xfId="0" applyFont="1" applyBorder="1" applyAlignment="1">
      <alignment wrapText="1"/>
    </xf>
    <xf numFmtId="0" fontId="11" fillId="0" borderId="0" xfId="0" applyFont="1" applyBorder="1" applyAlignment="1">
      <alignment horizontal="right"/>
    </xf>
    <xf numFmtId="167" fontId="3" fillId="0" borderId="10" xfId="0" applyNumberFormat="1"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4" xfId="0" applyFont="1" applyBorder="1" applyAlignment="1">
      <alignment horizontal="center" vertical="center" wrapText="1"/>
    </xf>
    <xf numFmtId="167" fontId="3" fillId="0" borderId="4" xfId="0" applyNumberFormat="1" applyFont="1" applyFill="1" applyBorder="1" applyAlignment="1">
      <alignment horizontal="center" vertical="center" wrapText="1"/>
    </xf>
    <xf numFmtId="167" fontId="3" fillId="0" borderId="5"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49" fontId="3"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4" fillId="0" borderId="5" xfId="0" applyFont="1" applyFill="1" applyBorder="1" applyAlignment="1">
      <alignment horizontal="left" vertical="center" wrapText="1"/>
    </xf>
    <xf numFmtId="168" fontId="10" fillId="0" borderId="0" xfId="0" applyNumberFormat="1" applyFont="1" applyBorder="1" applyAlignment="1">
      <alignment horizontal="left"/>
    </xf>
    <xf numFmtId="0" fontId="10" fillId="0" borderId="0" xfId="0" applyFont="1" applyBorder="1" applyAlignment="1"/>
    <xf numFmtId="0" fontId="4" fillId="2" borderId="2" xfId="0" applyFont="1" applyFill="1" applyBorder="1" applyAlignment="1">
      <alignment horizontal="center" vertical="center"/>
    </xf>
    <xf numFmtId="0" fontId="10" fillId="4" borderId="0" xfId="0" applyFont="1" applyFill="1" applyBorder="1"/>
    <xf numFmtId="0" fontId="0" fillId="4" borderId="0" xfId="0" applyFill="1" applyBorder="1"/>
    <xf numFmtId="0" fontId="10" fillId="0" borderId="0" xfId="0" quotePrefix="1" applyFont="1" applyBorder="1" applyAlignment="1">
      <alignment wrapText="1"/>
    </xf>
    <xf numFmtId="0" fontId="0" fillId="0" borderId="0" xfId="0" applyBorder="1" applyAlignment="1">
      <alignment wrapText="1"/>
    </xf>
    <xf numFmtId="0" fontId="10" fillId="0" borderId="0" xfId="0" quotePrefix="1" applyFont="1" applyBorder="1" applyAlignment="1"/>
    <xf numFmtId="0" fontId="4" fillId="3"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 fillId="5" borderId="8" xfId="0" applyFont="1" applyFill="1" applyBorder="1" applyAlignment="1">
      <alignment horizontal="center" vertical="center"/>
    </xf>
    <xf numFmtId="0" fontId="1" fillId="5" borderId="1" xfId="0" applyFont="1" applyFill="1" applyBorder="1" applyAlignment="1">
      <alignment horizontal="center" wrapText="1"/>
    </xf>
    <xf numFmtId="0" fontId="1" fillId="5" borderId="2" xfId="0" applyFont="1" applyFill="1" applyBorder="1" applyAlignment="1">
      <alignment horizontal="center" vertical="center" wrapText="1"/>
    </xf>
    <xf numFmtId="0" fontId="1" fillId="5" borderId="11" xfId="0" applyFont="1" applyFill="1" applyBorder="1" applyAlignment="1">
      <alignment horizontal="center" vertical="center"/>
    </xf>
    <xf numFmtId="0" fontId="1" fillId="5" borderId="10" xfId="0" applyFont="1" applyFill="1" applyBorder="1" applyAlignment="1">
      <alignment horizontal="center" vertical="center" wrapText="1"/>
    </xf>
    <xf numFmtId="3" fontId="1" fillId="5" borderId="10" xfId="0" applyNumberFormat="1" applyFont="1" applyFill="1" applyBorder="1" applyAlignment="1">
      <alignment horizontal="center" vertical="center"/>
    </xf>
    <xf numFmtId="167" fontId="3" fillId="6" borderId="2" xfId="0" applyNumberFormat="1" applyFont="1" applyFill="1" applyBorder="1" applyAlignment="1">
      <alignment horizontal="center" vertical="center" wrapText="1"/>
    </xf>
    <xf numFmtId="0" fontId="4" fillId="6" borderId="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49" fontId="4" fillId="6" borderId="2" xfId="0"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3" fontId="4" fillId="6" borderId="2" xfId="0" applyNumberFormat="1" applyFont="1" applyFill="1" applyBorder="1" applyAlignment="1">
      <alignment horizontal="right" vertical="center" wrapText="1"/>
    </xf>
    <xf numFmtId="165" fontId="3" fillId="0" borderId="4" xfId="0" applyNumberFormat="1" applyFont="1" applyFill="1" applyBorder="1" applyAlignment="1">
      <alignment horizontal="center" vertical="center" wrapText="1"/>
    </xf>
    <xf numFmtId="165" fontId="3" fillId="0" borderId="5" xfId="0" applyNumberFormat="1" applyFont="1" applyFill="1" applyBorder="1" applyAlignment="1">
      <alignment horizontal="center" vertical="center" wrapText="1"/>
    </xf>
    <xf numFmtId="0" fontId="4" fillId="8" borderId="1" xfId="0" applyFont="1" applyFill="1" applyBorder="1" applyAlignment="1">
      <alignment horizontal="center" vertical="center"/>
    </xf>
    <xf numFmtId="0" fontId="4" fillId="8" borderId="2" xfId="0" applyFont="1" applyFill="1" applyBorder="1" applyAlignment="1">
      <alignment horizontal="center" vertical="center"/>
    </xf>
    <xf numFmtId="49" fontId="4" fillId="8" borderId="2" xfId="0" applyNumberFormat="1" applyFont="1" applyFill="1" applyBorder="1" applyAlignment="1">
      <alignment horizontal="center" vertical="center" wrapText="1"/>
    </xf>
    <xf numFmtId="0" fontId="4" fillId="8" borderId="4" xfId="0" applyFont="1" applyFill="1" applyBorder="1" applyAlignment="1">
      <alignment horizontal="left" vertical="center" wrapText="1"/>
    </xf>
    <xf numFmtId="0" fontId="4" fillId="8" borderId="5" xfId="0" applyFont="1" applyFill="1" applyBorder="1" applyAlignment="1">
      <alignment horizontal="left" vertical="center" wrapText="1"/>
    </xf>
    <xf numFmtId="0" fontId="4" fillId="8" borderId="2" xfId="0" applyFont="1" applyFill="1" applyBorder="1" applyAlignment="1">
      <alignment horizontal="center" vertical="center" wrapText="1"/>
    </xf>
    <xf numFmtId="3" fontId="4" fillId="8" borderId="2" xfId="0" applyNumberFormat="1" applyFont="1" applyFill="1" applyBorder="1" applyAlignment="1">
      <alignment horizontal="right" vertical="center" wrapText="1"/>
    </xf>
    <xf numFmtId="167" fontId="3" fillId="8" borderId="2" xfId="0" applyNumberFormat="1"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5" xfId="0" applyFont="1" applyFill="1" applyBorder="1" applyAlignment="1">
      <alignment horizontal="left" vertical="center" wrapText="1"/>
    </xf>
    <xf numFmtId="0" fontId="3" fillId="8" borderId="1" xfId="0" applyFont="1" applyFill="1" applyBorder="1" applyAlignment="1">
      <alignment horizontal="left" vertical="center" wrapText="1"/>
    </xf>
    <xf numFmtId="0" fontId="4" fillId="9" borderId="0" xfId="0" applyFont="1" applyFill="1" applyBorder="1" applyAlignment="1">
      <alignment horizontal="center" vertical="center"/>
    </xf>
    <xf numFmtId="3" fontId="1" fillId="5" borderId="10" xfId="0" applyNumberFormat="1" applyFont="1" applyFill="1" applyBorder="1" applyAlignment="1">
      <alignment horizontal="center" vertical="center" wrapText="1"/>
    </xf>
    <xf numFmtId="3" fontId="24" fillId="0" borderId="0" xfId="0" applyNumberFormat="1" applyFont="1" applyFill="1" applyBorder="1" applyAlignment="1">
      <alignment vertical="center"/>
    </xf>
    <xf numFmtId="4" fontId="24" fillId="0" borderId="2" xfId="0" applyNumberFormat="1" applyFont="1" applyFill="1" applyBorder="1" applyAlignment="1">
      <alignment vertical="center"/>
    </xf>
    <xf numFmtId="0" fontId="4" fillId="0" borderId="1" xfId="0" applyFont="1" applyFill="1" applyBorder="1" applyAlignment="1">
      <alignment horizontal="left" vertical="center" wrapText="1"/>
    </xf>
    <xf numFmtId="0" fontId="13" fillId="0" borderId="0" xfId="0" applyFont="1" applyBorder="1" applyAlignment="1">
      <alignment horizontal="center"/>
    </xf>
    <xf numFmtId="0" fontId="25" fillId="0" borderId="0" xfId="0" applyFont="1" applyFill="1" applyBorder="1" applyAlignment="1">
      <alignment vertical="center"/>
    </xf>
    <xf numFmtId="3" fontId="3" fillId="8" borderId="2" xfId="0" applyNumberFormat="1" applyFont="1" applyFill="1" applyBorder="1" applyAlignment="1">
      <alignment horizontal="right" vertical="center" wrapText="1"/>
    </xf>
    <xf numFmtId="0" fontId="2" fillId="0" borderId="0" xfId="0" applyFont="1" applyBorder="1" applyAlignment="1">
      <alignment vertical="center"/>
    </xf>
    <xf numFmtId="3" fontId="2" fillId="0" borderId="0" xfId="0" applyNumberFormat="1" applyFont="1" applyBorder="1" applyAlignment="1">
      <alignment vertical="center"/>
    </xf>
    <xf numFmtId="0" fontId="0" fillId="0" borderId="3" xfId="0" applyBorder="1" applyAlignment="1">
      <alignment wrapText="1"/>
    </xf>
    <xf numFmtId="0" fontId="26" fillId="0" borderId="0" xfId="0" applyFont="1" applyBorder="1" applyAlignment="1">
      <alignment wrapText="1"/>
    </xf>
    <xf numFmtId="0" fontId="27" fillId="0" borderId="0" xfId="0" applyFont="1" applyBorder="1" applyAlignment="1">
      <alignment horizontal="center"/>
    </xf>
    <xf numFmtId="3" fontId="3" fillId="0" borderId="2" xfId="0" applyNumberFormat="1" applyFont="1" applyFill="1" applyBorder="1" applyAlignment="1">
      <alignment horizontal="right" vertical="center" wrapText="1"/>
    </xf>
    <xf numFmtId="0" fontId="4" fillId="9" borderId="4" xfId="0" applyFont="1" applyFill="1" applyBorder="1" applyAlignment="1">
      <alignment horizontal="center" vertical="center"/>
    </xf>
    <xf numFmtId="0" fontId="4" fillId="9" borderId="4" xfId="0" applyFont="1" applyFill="1" applyBorder="1" applyAlignment="1">
      <alignment horizontal="left" vertical="center" wrapText="1"/>
    </xf>
    <xf numFmtId="0" fontId="4" fillId="9" borderId="2" xfId="0" applyFont="1" applyFill="1" applyBorder="1" applyAlignment="1">
      <alignment horizontal="center" vertical="center"/>
    </xf>
    <xf numFmtId="0" fontId="4" fillId="9"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9" borderId="1" xfId="0" applyFont="1" applyFill="1" applyBorder="1" applyAlignment="1">
      <alignment horizontal="left" vertical="center"/>
    </xf>
    <xf numFmtId="49" fontId="4" fillId="9" borderId="2" xfId="0" applyNumberFormat="1" applyFont="1" applyFill="1" applyBorder="1" applyAlignment="1">
      <alignment horizontal="center" vertical="center" wrapText="1"/>
    </xf>
    <xf numFmtId="0" fontId="4" fillId="9" borderId="0" xfId="0" applyFont="1" applyFill="1" applyBorder="1" applyAlignment="1">
      <alignment vertical="center"/>
    </xf>
    <xf numFmtId="0" fontId="4" fillId="9" borderId="1" xfId="0" applyFont="1" applyFill="1" applyBorder="1" applyAlignment="1">
      <alignment horizontal="left" vertical="center" wrapText="1"/>
    </xf>
    <xf numFmtId="0" fontId="4" fillId="9" borderId="5" xfId="0" applyFont="1" applyFill="1" applyBorder="1" applyAlignment="1">
      <alignment horizontal="left" vertical="center" wrapText="1"/>
    </xf>
    <xf numFmtId="3" fontId="4" fillId="9" borderId="2" xfId="0" applyNumberFormat="1" applyFont="1" applyFill="1" applyBorder="1" applyAlignment="1">
      <alignment horizontal="right" vertical="center" wrapText="1"/>
    </xf>
    <xf numFmtId="167" fontId="3" fillId="9" borderId="2" xfId="0" applyNumberFormat="1" applyFont="1" applyFill="1" applyBorder="1" applyAlignment="1">
      <alignment horizontal="center" vertical="center" wrapText="1"/>
    </xf>
    <xf numFmtId="167" fontId="3" fillId="9" borderId="12" xfId="0" applyNumberFormat="1" applyFont="1" applyFill="1" applyBorder="1" applyAlignment="1">
      <alignment horizontal="center" vertical="center" wrapText="1"/>
    </xf>
    <xf numFmtId="167" fontId="3" fillId="9" borderId="4" xfId="0" applyNumberFormat="1" applyFont="1" applyFill="1" applyBorder="1" applyAlignment="1">
      <alignment horizontal="center" vertical="center" wrapText="1"/>
    </xf>
    <xf numFmtId="0" fontId="3" fillId="9" borderId="4" xfId="0" applyFont="1" applyFill="1" applyBorder="1" applyAlignment="1">
      <alignment vertical="center"/>
    </xf>
    <xf numFmtId="167" fontId="4" fillId="9" borderId="2" xfId="0" applyNumberFormat="1" applyFont="1" applyFill="1" applyBorder="1" applyAlignment="1">
      <alignment horizontal="center" vertical="center"/>
    </xf>
    <xf numFmtId="167" fontId="4" fillId="9" borderId="5" xfId="0" applyNumberFormat="1" applyFont="1" applyFill="1" applyBorder="1" applyAlignment="1">
      <alignment horizontal="center" vertical="center"/>
    </xf>
    <xf numFmtId="0" fontId="3" fillId="9" borderId="1" xfId="0" applyFont="1" applyFill="1" applyBorder="1" applyAlignment="1">
      <alignment horizontal="left" vertical="center" wrapText="1"/>
    </xf>
    <xf numFmtId="0" fontId="3" fillId="9" borderId="5" xfId="0" applyFont="1" applyFill="1" applyBorder="1" applyAlignment="1">
      <alignment horizontal="left" vertical="center" wrapText="1"/>
    </xf>
    <xf numFmtId="0" fontId="3" fillId="9" borderId="2" xfId="0" applyFont="1" applyFill="1" applyBorder="1" applyAlignment="1">
      <alignment horizontal="center" vertical="center"/>
    </xf>
    <xf numFmtId="49" fontId="3" fillId="9" borderId="2" xfId="0" applyNumberFormat="1" applyFont="1" applyFill="1" applyBorder="1" applyAlignment="1">
      <alignment horizontal="center" vertical="center" wrapText="1"/>
    </xf>
    <xf numFmtId="0" fontId="17" fillId="9" borderId="1" xfId="0" applyFont="1" applyFill="1" applyBorder="1" applyAlignment="1">
      <alignment vertical="center" wrapText="1"/>
    </xf>
    <xf numFmtId="0" fontId="3" fillId="9" borderId="4" xfId="0" applyFont="1" applyFill="1" applyBorder="1" applyAlignment="1">
      <alignment horizontal="left" vertical="center" wrapText="1"/>
    </xf>
    <xf numFmtId="0" fontId="3" fillId="9" borderId="4" xfId="0" applyFont="1" applyFill="1" applyBorder="1" applyAlignment="1">
      <alignment horizontal="center" vertical="center" wrapText="1"/>
    </xf>
    <xf numFmtId="167" fontId="3" fillId="9" borderId="5" xfId="0" applyNumberFormat="1" applyFont="1" applyFill="1" applyBorder="1" applyAlignment="1">
      <alignment horizontal="center" vertical="center" wrapText="1"/>
    </xf>
    <xf numFmtId="0" fontId="3" fillId="9" borderId="0" xfId="0" applyFont="1" applyFill="1" applyBorder="1" applyAlignment="1">
      <alignment vertical="center"/>
    </xf>
    <xf numFmtId="0" fontId="3" fillId="9" borderId="2" xfId="0" applyFont="1" applyFill="1" applyBorder="1" applyAlignment="1">
      <alignment horizontal="center" vertical="center" wrapText="1"/>
    </xf>
    <xf numFmtId="0" fontId="3" fillId="9" borderId="2" xfId="0" applyFont="1" applyFill="1" applyBorder="1" applyAlignment="1">
      <alignment vertical="center"/>
    </xf>
    <xf numFmtId="0" fontId="3" fillId="9" borderId="1" xfId="0" applyFont="1" applyFill="1" applyBorder="1" applyAlignment="1">
      <alignment vertical="center" wrapText="1"/>
    </xf>
    <xf numFmtId="0" fontId="3" fillId="9" borderId="1" xfId="0" applyFont="1" applyFill="1" applyBorder="1" applyAlignment="1">
      <alignment horizontal="center" vertical="center"/>
    </xf>
    <xf numFmtId="49" fontId="3" fillId="9" borderId="4" xfId="0" applyNumberFormat="1" applyFont="1" applyFill="1" applyBorder="1" applyAlignment="1">
      <alignment horizontal="center" vertical="center" wrapText="1"/>
    </xf>
    <xf numFmtId="0" fontId="3" fillId="9" borderId="4" xfId="0" applyFont="1" applyFill="1" applyBorder="1" applyAlignment="1">
      <alignment vertical="center" wrapText="1"/>
    </xf>
    <xf numFmtId="0" fontId="3" fillId="9" borderId="6" xfId="0" applyFont="1" applyFill="1" applyBorder="1" applyAlignment="1">
      <alignment horizontal="center" vertical="center"/>
    </xf>
    <xf numFmtId="49" fontId="3" fillId="9" borderId="6" xfId="0" applyNumberFormat="1" applyFont="1" applyFill="1" applyBorder="1" applyAlignment="1">
      <alignment horizontal="center" vertical="center" wrapText="1"/>
    </xf>
    <xf numFmtId="0" fontId="3" fillId="9" borderId="4" xfId="0" applyFont="1" applyFill="1" applyBorder="1" applyAlignment="1">
      <alignment horizontal="center" vertical="center"/>
    </xf>
    <xf numFmtId="0" fontId="17" fillId="9" borderId="1" xfId="0" applyFont="1" applyFill="1" applyBorder="1" applyAlignment="1">
      <alignment horizontal="left" vertical="center" wrapText="1"/>
    </xf>
    <xf numFmtId="0" fontId="3" fillId="9" borderId="13" xfId="0" applyFont="1" applyFill="1" applyBorder="1" applyAlignment="1">
      <alignment horizontal="center" vertical="center"/>
    </xf>
    <xf numFmtId="49" fontId="3" fillId="9" borderId="12" xfId="0" applyNumberFormat="1" applyFont="1" applyFill="1" applyBorder="1" applyAlignment="1">
      <alignment horizontal="center" vertical="center" wrapText="1"/>
    </xf>
    <xf numFmtId="0" fontId="3" fillId="9" borderId="12" xfId="0" applyFont="1" applyFill="1" applyBorder="1" applyAlignment="1">
      <alignment horizontal="left" vertical="center" wrapText="1"/>
    </xf>
    <xf numFmtId="0" fontId="3" fillId="9" borderId="12" xfId="0" applyFont="1" applyFill="1" applyBorder="1" applyAlignment="1">
      <alignment horizontal="center" vertical="center"/>
    </xf>
    <xf numFmtId="0" fontId="3" fillId="9" borderId="12" xfId="0" applyFont="1" applyFill="1" applyBorder="1" applyAlignment="1">
      <alignment horizontal="center" vertical="center" wrapText="1"/>
    </xf>
    <xf numFmtId="167" fontId="3" fillId="9" borderId="11" xfId="0" applyNumberFormat="1" applyFont="1" applyFill="1" applyBorder="1" applyAlignment="1">
      <alignment horizontal="center" vertical="center" wrapText="1"/>
    </xf>
    <xf numFmtId="0" fontId="3" fillId="9" borderId="13" xfId="0" applyFont="1" applyFill="1" applyBorder="1" applyAlignment="1">
      <alignment vertical="center" wrapText="1"/>
    </xf>
    <xf numFmtId="0" fontId="3" fillId="9" borderId="5" xfId="0" applyFont="1" applyFill="1" applyBorder="1" applyAlignment="1">
      <alignment vertical="center"/>
    </xf>
    <xf numFmtId="2" fontId="3" fillId="9" borderId="12" xfId="0" applyNumberFormat="1" applyFont="1" applyFill="1" applyBorder="1" applyAlignment="1">
      <alignment horizontal="center" vertical="center" wrapText="1"/>
    </xf>
    <xf numFmtId="167" fontId="3" fillId="9" borderId="0" xfId="0" applyNumberFormat="1" applyFont="1" applyFill="1" applyBorder="1" applyAlignment="1">
      <alignment horizontal="center" vertical="center" wrapText="1"/>
    </xf>
    <xf numFmtId="167" fontId="3" fillId="9" borderId="14" xfId="0" applyNumberFormat="1" applyFont="1" applyFill="1" applyBorder="1" applyAlignment="1">
      <alignment horizontal="center" vertical="center" wrapText="1"/>
    </xf>
    <xf numFmtId="3" fontId="3" fillId="9" borderId="2" xfId="0" applyNumberFormat="1" applyFont="1" applyFill="1" applyBorder="1" applyAlignment="1">
      <alignment horizontal="center" vertical="center" wrapText="1"/>
    </xf>
    <xf numFmtId="0" fontId="17" fillId="9" borderId="4" xfId="0" applyFont="1" applyFill="1" applyBorder="1" applyAlignment="1">
      <alignment horizontal="left" vertical="center" wrapText="1"/>
    </xf>
    <xf numFmtId="49" fontId="2" fillId="9" borderId="2" xfId="0" applyNumberFormat="1"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9" borderId="2" xfId="0" applyFont="1" applyFill="1" applyBorder="1" applyAlignment="1">
      <alignment horizontal="center" vertical="center" wrapText="1"/>
    </xf>
    <xf numFmtId="165" fontId="3" fillId="9" borderId="2" xfId="0" applyNumberFormat="1" applyFont="1" applyFill="1" applyBorder="1" applyAlignment="1">
      <alignment horizontal="center" vertical="center" wrapText="1"/>
    </xf>
    <xf numFmtId="49" fontId="3" fillId="9" borderId="4" xfId="0" applyNumberFormat="1" applyFont="1" applyFill="1" applyBorder="1" applyAlignment="1">
      <alignment horizontal="right" vertical="center" wrapText="1"/>
    </xf>
    <xf numFmtId="0" fontId="17" fillId="9" borderId="1" xfId="0" applyFont="1" applyFill="1" applyBorder="1" applyAlignment="1">
      <alignment horizontal="left" vertical="center"/>
    </xf>
    <xf numFmtId="0" fontId="3" fillId="9" borderId="4" xfId="0" applyFont="1" applyFill="1" applyBorder="1" applyAlignment="1">
      <alignment horizontal="left" vertical="center"/>
    </xf>
    <xf numFmtId="165" fontId="3" fillId="9" borderId="4" xfId="0" applyNumberFormat="1" applyFont="1" applyFill="1" applyBorder="1" applyAlignment="1">
      <alignment horizontal="center" vertical="center" wrapText="1"/>
    </xf>
    <xf numFmtId="2" fontId="3" fillId="9" borderId="4" xfId="0" applyNumberFormat="1" applyFont="1" applyFill="1" applyBorder="1" applyAlignment="1">
      <alignment vertical="center"/>
    </xf>
    <xf numFmtId="49" fontId="3" fillId="9" borderId="2" xfId="0" applyNumberFormat="1" applyFont="1" applyFill="1" applyBorder="1" applyAlignment="1">
      <alignment horizontal="right" vertical="center" wrapText="1"/>
    </xf>
    <xf numFmtId="165" fontId="3" fillId="9" borderId="5" xfId="0" applyNumberFormat="1" applyFont="1" applyFill="1" applyBorder="1" applyAlignment="1">
      <alignment horizontal="center" vertical="center" wrapText="1"/>
    </xf>
    <xf numFmtId="0" fontId="4" fillId="9" borderId="7"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4" xfId="0" applyFont="1" applyFill="1" applyBorder="1" applyAlignment="1">
      <alignment horizontal="left" vertical="center"/>
    </xf>
    <xf numFmtId="0" fontId="4" fillId="9" borderId="5" xfId="0" applyFont="1" applyFill="1" applyBorder="1" applyAlignment="1">
      <alignment horizontal="center" vertical="center"/>
    </xf>
    <xf numFmtId="3" fontId="3" fillId="0" borderId="2" xfId="0" applyNumberFormat="1" applyFont="1" applyBorder="1" applyAlignment="1">
      <alignment horizontal="center" vertical="center" wrapText="1"/>
    </xf>
    <xf numFmtId="0" fontId="3" fillId="7" borderId="9" xfId="0" applyFont="1" applyFill="1" applyBorder="1" applyAlignment="1">
      <alignment horizontal="center" vertical="center"/>
    </xf>
    <xf numFmtId="49" fontId="3" fillId="7" borderId="9" xfId="0" applyNumberFormat="1" applyFont="1" applyFill="1" applyBorder="1" applyAlignment="1">
      <alignment horizontal="center" vertical="center" wrapText="1"/>
    </xf>
    <xf numFmtId="0" fontId="3" fillId="7" borderId="13" xfId="0" applyFont="1" applyFill="1" applyBorder="1" applyAlignment="1">
      <alignment horizontal="left" vertical="center" wrapText="1"/>
    </xf>
    <xf numFmtId="0" fontId="3" fillId="7" borderId="11" xfId="0" applyFont="1" applyFill="1" applyBorder="1" applyAlignment="1">
      <alignment horizontal="left" vertical="center" wrapText="1"/>
    </xf>
    <xf numFmtId="0" fontId="3" fillId="7" borderId="9" xfId="0" applyFont="1" applyFill="1" applyBorder="1" applyAlignment="1">
      <alignment horizontal="center" vertical="center" wrapText="1"/>
    </xf>
    <xf numFmtId="0" fontId="3" fillId="7" borderId="10" xfId="0" applyFont="1" applyFill="1" applyBorder="1" applyAlignment="1">
      <alignment horizontal="center" vertical="center" wrapText="1"/>
    </xf>
    <xf numFmtId="167" fontId="3" fillId="7" borderId="9" xfId="0" applyNumberFormat="1" applyFont="1" applyFill="1" applyBorder="1" applyAlignment="1">
      <alignment horizontal="center" vertical="center" wrapText="1"/>
    </xf>
    <xf numFmtId="167" fontId="3" fillId="7" borderId="10" xfId="0" applyNumberFormat="1" applyFont="1" applyFill="1" applyBorder="1" applyAlignment="1">
      <alignment horizontal="center" vertical="center" wrapText="1"/>
    </xf>
    <xf numFmtId="0" fontId="3" fillId="2" borderId="0" xfId="0" applyFont="1" applyFill="1" applyBorder="1" applyAlignment="1">
      <alignment vertical="center"/>
    </xf>
    <xf numFmtId="3" fontId="3" fillId="8" borderId="9" xfId="0" applyNumberFormat="1" applyFont="1" applyFill="1" applyBorder="1" applyAlignment="1">
      <alignment horizontal="right" vertical="center" wrapText="1"/>
    </xf>
    <xf numFmtId="0" fontId="3" fillId="8" borderId="9" xfId="0" applyFont="1" applyFill="1" applyBorder="1" applyAlignment="1">
      <alignment horizontal="center" vertical="center" wrapText="1"/>
    </xf>
    <xf numFmtId="3" fontId="3" fillId="8" borderId="10" xfId="0" applyNumberFormat="1" applyFont="1" applyFill="1" applyBorder="1" applyAlignment="1">
      <alignment horizontal="right" vertical="center" wrapText="1"/>
    </xf>
    <xf numFmtId="0" fontId="3" fillId="8" borderId="10" xfId="0" applyFont="1" applyFill="1" applyBorder="1" applyAlignment="1">
      <alignment horizontal="center" vertical="center" wrapText="1"/>
    </xf>
    <xf numFmtId="0" fontId="3" fillId="7" borderId="6" xfId="0" applyFont="1" applyFill="1" applyBorder="1" applyAlignment="1">
      <alignment horizontal="center" vertical="center"/>
    </xf>
    <xf numFmtId="49" fontId="3" fillId="7" borderId="6" xfId="0" applyNumberFormat="1" applyFont="1" applyFill="1" applyBorder="1" applyAlignment="1">
      <alignment horizontal="center" vertical="center" wrapText="1"/>
    </xf>
    <xf numFmtId="0" fontId="3" fillId="7" borderId="10" xfId="0" applyFont="1" applyFill="1" applyBorder="1" applyAlignment="1">
      <alignment horizontal="center" vertical="center"/>
    </xf>
    <xf numFmtId="49" fontId="3" fillId="7" borderId="10" xfId="0" applyNumberFormat="1"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5" xfId="0" applyFont="1" applyFill="1" applyBorder="1" applyAlignment="1">
      <alignment horizontal="left" vertical="center" wrapText="1"/>
    </xf>
    <xf numFmtId="3" fontId="4" fillId="8" borderId="2" xfId="0" applyNumberFormat="1" applyFont="1" applyFill="1" applyBorder="1" applyAlignment="1">
      <alignment horizontal="right" vertical="center"/>
    </xf>
    <xf numFmtId="3" fontId="3" fillId="9" borderId="10" xfId="0" applyNumberFormat="1" applyFont="1" applyFill="1" applyBorder="1" applyAlignment="1">
      <alignment horizontal="right" vertical="center"/>
    </xf>
    <xf numFmtId="3" fontId="4" fillId="9" borderId="2" xfId="0" applyNumberFormat="1" applyFont="1" applyFill="1" applyBorder="1" applyAlignment="1">
      <alignment horizontal="right" vertical="center"/>
    </xf>
    <xf numFmtId="3" fontId="2" fillId="0" borderId="10" xfId="0" applyNumberFormat="1" applyFont="1" applyFill="1" applyBorder="1" applyAlignment="1">
      <alignment horizontal="right" vertical="center" wrapText="1"/>
    </xf>
    <xf numFmtId="3" fontId="2" fillId="0" borderId="10" xfId="0" applyNumberFormat="1" applyFont="1" applyFill="1" applyBorder="1" applyAlignment="1">
      <alignment horizontal="right" vertical="center"/>
    </xf>
    <xf numFmtId="3" fontId="4" fillId="3" borderId="4" xfId="0" applyNumberFormat="1" applyFont="1" applyFill="1" applyBorder="1" applyAlignment="1">
      <alignment horizontal="right" vertical="center"/>
    </xf>
    <xf numFmtId="3" fontId="3" fillId="7" borderId="10" xfId="0" applyNumberFormat="1" applyFont="1" applyFill="1" applyBorder="1" applyAlignment="1">
      <alignment horizontal="right" vertical="center"/>
    </xf>
    <xf numFmtId="3" fontId="3" fillId="7" borderId="9" xfId="0" applyNumberFormat="1" applyFont="1" applyFill="1" applyBorder="1" applyAlignment="1">
      <alignment horizontal="right" vertical="center"/>
    </xf>
    <xf numFmtId="3" fontId="3" fillId="9" borderId="1"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3" fontId="4" fillId="0" borderId="10" xfId="0" applyNumberFormat="1" applyFont="1" applyFill="1" applyBorder="1" applyAlignment="1">
      <alignment horizontal="right" vertical="center" wrapText="1"/>
    </xf>
    <xf numFmtId="3" fontId="1" fillId="9" borderId="2" xfId="0" applyNumberFormat="1" applyFont="1" applyFill="1" applyBorder="1" applyAlignment="1">
      <alignment horizontal="right" vertical="center"/>
    </xf>
    <xf numFmtId="3" fontId="4" fillId="0" borderId="2" xfId="0" applyNumberFormat="1" applyFont="1" applyBorder="1" applyAlignment="1">
      <alignment horizontal="right" vertical="center"/>
    </xf>
    <xf numFmtId="3" fontId="2" fillId="0" borderId="2" xfId="0" applyNumberFormat="1" applyFont="1" applyBorder="1" applyAlignment="1">
      <alignment horizontal="right" vertical="center"/>
    </xf>
    <xf numFmtId="3" fontId="3" fillId="0" borderId="2" xfId="0" applyNumberFormat="1" applyFont="1" applyFill="1" applyBorder="1" applyAlignment="1">
      <alignment horizontal="right" vertical="center"/>
    </xf>
    <xf numFmtId="3" fontId="3" fillId="0" borderId="4" xfId="0" applyNumberFormat="1" applyFont="1" applyBorder="1" applyAlignment="1">
      <alignment horizontal="right" vertical="center" wrapText="1"/>
    </xf>
    <xf numFmtId="3" fontId="3" fillId="0" borderId="4" xfId="0" applyNumberFormat="1" applyFont="1" applyFill="1" applyBorder="1" applyAlignment="1">
      <alignment horizontal="right" vertical="center"/>
    </xf>
    <xf numFmtId="3" fontId="3" fillId="0" borderId="4" xfId="0" applyNumberFormat="1" applyFont="1" applyBorder="1" applyAlignment="1">
      <alignment horizontal="right" vertical="center"/>
    </xf>
    <xf numFmtId="3" fontId="3" fillId="9" borderId="4" xfId="0" applyNumberFormat="1" applyFont="1" applyFill="1" applyBorder="1" applyAlignment="1">
      <alignment horizontal="right" vertical="center" wrapText="1"/>
    </xf>
    <xf numFmtId="3" fontId="3" fillId="9" borderId="4" xfId="0" applyNumberFormat="1" applyFont="1" applyFill="1" applyBorder="1" applyAlignment="1">
      <alignment horizontal="right" vertical="center"/>
    </xf>
    <xf numFmtId="3" fontId="2" fillId="9" borderId="4" xfId="0" applyNumberFormat="1" applyFont="1" applyFill="1" applyBorder="1" applyAlignment="1">
      <alignment horizontal="right" vertical="center" wrapText="1"/>
    </xf>
    <xf numFmtId="3" fontId="3" fillId="9" borderId="12" xfId="0" applyNumberFormat="1" applyFont="1" applyFill="1" applyBorder="1" applyAlignment="1">
      <alignment horizontal="right" vertical="center"/>
    </xf>
    <xf numFmtId="3" fontId="3" fillId="9" borderId="2" xfId="0" applyNumberFormat="1" applyFont="1" applyFill="1" applyBorder="1" applyAlignment="1">
      <alignment horizontal="right" vertical="center" wrapText="1"/>
    </xf>
    <xf numFmtId="3" fontId="3" fillId="9" borderId="2" xfId="0" applyNumberFormat="1" applyFont="1" applyFill="1" applyBorder="1" applyAlignment="1">
      <alignment horizontal="right" vertical="center"/>
    </xf>
    <xf numFmtId="3" fontId="4" fillId="9" borderId="0" xfId="0" applyNumberFormat="1" applyFont="1" applyFill="1" applyBorder="1" applyAlignment="1">
      <alignment horizontal="right" vertical="center"/>
    </xf>
    <xf numFmtId="3" fontId="20" fillId="9" borderId="2" xfId="0" applyNumberFormat="1" applyFont="1" applyFill="1" applyBorder="1" applyAlignment="1">
      <alignment horizontal="right" vertical="center" wrapText="1"/>
    </xf>
    <xf numFmtId="3" fontId="2" fillId="9" borderId="2" xfId="0" applyNumberFormat="1" applyFont="1" applyFill="1" applyBorder="1" applyAlignment="1">
      <alignment horizontal="right" vertical="center"/>
    </xf>
    <xf numFmtId="3" fontId="1" fillId="9" borderId="9" xfId="0" applyNumberFormat="1" applyFont="1" applyFill="1" applyBorder="1" applyAlignment="1">
      <alignment horizontal="right" vertical="center"/>
    </xf>
    <xf numFmtId="3" fontId="21" fillId="9" borderId="4" xfId="0" applyNumberFormat="1" applyFont="1" applyFill="1" applyBorder="1" applyAlignment="1">
      <alignment horizontal="right" vertical="center"/>
    </xf>
    <xf numFmtId="3" fontId="3" fillId="9" borderId="15" xfId="0" applyNumberFormat="1" applyFont="1" applyFill="1" applyBorder="1" applyAlignment="1">
      <alignment horizontal="right" vertical="center"/>
    </xf>
    <xf numFmtId="3" fontId="9" fillId="9" borderId="2" xfId="0" applyNumberFormat="1" applyFont="1" applyFill="1" applyBorder="1" applyAlignment="1">
      <alignment horizontal="right"/>
    </xf>
    <xf numFmtId="3" fontId="3" fillId="9" borderId="5" xfId="0" applyNumberFormat="1" applyFont="1" applyFill="1" applyBorder="1" applyAlignment="1">
      <alignment horizontal="right" vertical="center"/>
    </xf>
    <xf numFmtId="3" fontId="9" fillId="9" borderId="4" xfId="0" applyNumberFormat="1" applyFont="1" applyFill="1" applyBorder="1" applyAlignment="1">
      <alignment horizontal="right"/>
    </xf>
    <xf numFmtId="3" fontId="4" fillId="9" borderId="4" xfId="0" applyNumberFormat="1" applyFont="1" applyFill="1" applyBorder="1" applyAlignment="1">
      <alignment horizontal="right" vertical="center"/>
    </xf>
    <xf numFmtId="3" fontId="9" fillId="0" borderId="4" xfId="0" applyNumberFormat="1" applyFont="1" applyFill="1" applyBorder="1" applyAlignment="1">
      <alignment horizontal="right"/>
    </xf>
    <xf numFmtId="3" fontId="3" fillId="0" borderId="0" xfId="0" applyNumberFormat="1" applyFont="1" applyFill="1" applyBorder="1" applyAlignment="1">
      <alignment horizontal="right" vertical="center"/>
    </xf>
    <xf numFmtId="3" fontId="1" fillId="0" borderId="2" xfId="0" applyNumberFormat="1" applyFont="1" applyBorder="1" applyAlignment="1">
      <alignment horizontal="right" vertical="center"/>
    </xf>
    <xf numFmtId="3" fontId="4" fillId="6" borderId="2" xfId="0" applyNumberFormat="1" applyFont="1" applyFill="1" applyBorder="1" applyAlignment="1">
      <alignment horizontal="right" vertical="center"/>
    </xf>
    <xf numFmtId="3" fontId="4" fillId="7" borderId="2" xfId="0" applyNumberFormat="1" applyFont="1" applyFill="1" applyBorder="1" applyAlignment="1">
      <alignment horizontal="right" vertical="center"/>
    </xf>
    <xf numFmtId="3" fontId="2" fillId="0" borderId="2" xfId="0" applyNumberFormat="1" applyFont="1" applyFill="1" applyBorder="1" applyAlignment="1">
      <alignment horizontal="right" vertical="center"/>
    </xf>
    <xf numFmtId="3" fontId="4" fillId="0" borderId="0" xfId="0" applyNumberFormat="1" applyFont="1" applyBorder="1" applyAlignment="1">
      <alignment horizontal="right" vertical="center"/>
    </xf>
    <xf numFmtId="3" fontId="24" fillId="0" borderId="2" xfId="0" applyNumberFormat="1" applyFont="1" applyBorder="1" applyAlignment="1">
      <alignment horizontal="right" vertical="center"/>
    </xf>
    <xf numFmtId="3" fontId="28" fillId="0" borderId="2" xfId="0" applyNumberFormat="1" applyFont="1" applyBorder="1" applyAlignment="1">
      <alignment horizontal="right" vertical="center"/>
    </xf>
    <xf numFmtId="3" fontId="1" fillId="0" borderId="2" xfId="0" applyNumberFormat="1" applyFont="1" applyFill="1" applyBorder="1" applyAlignment="1">
      <alignment horizontal="right" vertical="center"/>
    </xf>
    <xf numFmtId="3" fontId="24" fillId="0" borderId="2" xfId="0" applyNumberFormat="1" applyFont="1" applyFill="1" applyBorder="1" applyAlignment="1">
      <alignment horizontal="right" vertical="center"/>
    </xf>
    <xf numFmtId="167" fontId="3" fillId="7" borderId="2" xfId="0" applyNumberFormat="1" applyFont="1" applyFill="1" applyBorder="1" applyAlignment="1">
      <alignment horizontal="center" vertical="center" wrapText="1"/>
    </xf>
    <xf numFmtId="167" fontId="3" fillId="8" borderId="9" xfId="0" applyNumberFormat="1" applyFont="1" applyFill="1" applyBorder="1" applyAlignment="1">
      <alignment horizontal="center" vertical="center" wrapText="1"/>
    </xf>
    <xf numFmtId="0" fontId="3" fillId="8" borderId="2" xfId="0" applyFont="1" applyFill="1" applyBorder="1" applyAlignment="1">
      <alignment horizontal="right" vertical="center" wrapText="1"/>
    </xf>
    <xf numFmtId="0" fontId="4" fillId="9" borderId="1" xfId="0" applyFont="1" applyFill="1" applyBorder="1" applyAlignment="1">
      <alignment horizontal="left" vertical="center" wrapText="1"/>
    </xf>
    <xf numFmtId="0" fontId="3" fillId="0" borderId="7" xfId="0" applyFont="1" applyFill="1" applyBorder="1" applyAlignment="1">
      <alignment horizontal="center" vertical="center"/>
    </xf>
    <xf numFmtId="49" fontId="3" fillId="0" borderId="6" xfId="0" applyNumberFormat="1" applyFont="1" applyBorder="1" applyAlignment="1">
      <alignment horizontal="center" vertical="center" wrapText="1"/>
    </xf>
    <xf numFmtId="0" fontId="25" fillId="0" borderId="0" xfId="0" applyFont="1" applyBorder="1" applyAlignment="1">
      <alignment vertical="center"/>
    </xf>
    <xf numFmtId="0" fontId="13" fillId="0" borderId="14" xfId="0" applyFont="1" applyBorder="1" applyAlignment="1">
      <alignment horizontal="center"/>
    </xf>
    <xf numFmtId="0" fontId="4" fillId="9" borderId="13" xfId="0" applyFont="1" applyFill="1" applyBorder="1" applyAlignment="1">
      <alignment horizontal="left" vertical="center" wrapText="1"/>
    </xf>
    <xf numFmtId="0" fontId="4" fillId="9" borderId="11" xfId="0" applyFont="1" applyFill="1" applyBorder="1" applyAlignment="1">
      <alignment horizontal="left" vertical="center" wrapText="1"/>
    </xf>
    <xf numFmtId="3" fontId="1" fillId="0" borderId="0" xfId="0" applyNumberFormat="1" applyFont="1" applyFill="1" applyBorder="1" applyAlignment="1">
      <alignment horizontal="right" vertical="center"/>
    </xf>
    <xf numFmtId="0" fontId="4" fillId="0" borderId="9" xfId="0" applyFont="1" applyFill="1" applyBorder="1" applyAlignment="1">
      <alignment horizontal="center" vertical="center" wrapText="1"/>
    </xf>
    <xf numFmtId="2" fontId="3" fillId="9" borderId="4"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0" fontId="4" fillId="10" borderId="2" xfId="0" applyFont="1" applyFill="1" applyBorder="1" applyAlignment="1">
      <alignment horizontal="center" vertical="center"/>
    </xf>
    <xf numFmtId="0" fontId="4" fillId="10" borderId="1" xfId="0" applyFont="1" applyFill="1" applyBorder="1" applyAlignment="1">
      <alignment horizontal="left" vertical="center"/>
    </xf>
    <xf numFmtId="0" fontId="4" fillId="10" borderId="2" xfId="0" applyFont="1" applyFill="1" applyBorder="1" applyAlignment="1">
      <alignment horizontal="center" vertical="center" wrapText="1"/>
    </xf>
    <xf numFmtId="3" fontId="4" fillId="10" borderId="2" xfId="0" applyNumberFormat="1" applyFont="1" applyFill="1" applyBorder="1" applyAlignment="1">
      <alignment horizontal="right" vertical="center"/>
    </xf>
    <xf numFmtId="167" fontId="3" fillId="10" borderId="2" xfId="0" applyNumberFormat="1" applyFont="1" applyFill="1" applyBorder="1" applyAlignment="1">
      <alignment horizontal="center" vertical="center" wrapText="1"/>
    </xf>
    <xf numFmtId="3" fontId="4" fillId="10" borderId="9" xfId="0" applyNumberFormat="1" applyFont="1" applyFill="1" applyBorder="1" applyAlignment="1">
      <alignment horizontal="right" vertical="center"/>
    </xf>
    <xf numFmtId="3" fontId="4" fillId="10" borderId="1" xfId="0" applyNumberFormat="1" applyFont="1" applyFill="1" applyBorder="1" applyAlignment="1">
      <alignment horizontal="right" vertical="center"/>
    </xf>
    <xf numFmtId="3" fontId="4" fillId="10" borderId="6" xfId="0" applyNumberFormat="1" applyFont="1" applyFill="1" applyBorder="1" applyAlignment="1">
      <alignment horizontal="right" vertical="center"/>
    </xf>
    <xf numFmtId="0" fontId="3" fillId="10" borderId="0" xfId="0" applyFont="1" applyFill="1" applyBorder="1" applyAlignment="1">
      <alignment vertical="center"/>
    </xf>
    <xf numFmtId="0" fontId="4" fillId="9" borderId="1" xfId="0" applyFont="1" applyFill="1" applyBorder="1" applyAlignment="1">
      <alignment horizontal="left" vertical="center" wrapText="1"/>
    </xf>
    <xf numFmtId="0" fontId="4" fillId="9" borderId="5" xfId="0" applyFont="1" applyFill="1" applyBorder="1" applyAlignment="1">
      <alignment horizontal="left" vertical="center" wrapText="1"/>
    </xf>
    <xf numFmtId="0" fontId="4" fillId="9" borderId="1" xfId="0" applyFont="1" applyFill="1" applyBorder="1" applyAlignment="1">
      <alignment horizontal="left" vertical="center" wrapText="1"/>
    </xf>
    <xf numFmtId="0" fontId="4" fillId="0" borderId="16" xfId="0" applyFont="1" applyBorder="1" applyAlignment="1">
      <alignment vertical="center"/>
    </xf>
    <xf numFmtId="0" fontId="4" fillId="0" borderId="17" xfId="0" applyFont="1" applyBorder="1" applyAlignment="1">
      <alignment horizontal="center" vertical="top" wrapText="1"/>
    </xf>
    <xf numFmtId="0" fontId="4" fillId="0" borderId="18" xfId="0" applyFont="1" applyBorder="1" applyAlignment="1">
      <alignment horizontal="center" vertical="top" wrapText="1"/>
    </xf>
    <xf numFmtId="0" fontId="2" fillId="0" borderId="19" xfId="0" applyFont="1" applyFill="1" applyBorder="1" applyAlignment="1">
      <alignment vertical="center"/>
    </xf>
    <xf numFmtId="0" fontId="2" fillId="0" borderId="20" xfId="0" applyFont="1" applyBorder="1" applyAlignment="1">
      <alignment vertical="center"/>
    </xf>
    <xf numFmtId="3" fontId="2" fillId="0" borderId="20" xfId="0" applyNumberFormat="1" applyFont="1" applyBorder="1" applyAlignment="1">
      <alignment horizontal="right" vertical="center"/>
    </xf>
    <xf numFmtId="3" fontId="2" fillId="0" borderId="20" xfId="0" applyNumberFormat="1" applyFont="1" applyBorder="1" applyAlignment="1">
      <alignment vertical="center"/>
    </xf>
    <xf numFmtId="3" fontId="2" fillId="0" borderId="21" xfId="0" applyNumberFormat="1" applyFont="1" applyBorder="1" applyAlignment="1">
      <alignment vertical="center"/>
    </xf>
    <xf numFmtId="0" fontId="4" fillId="0" borderId="22" xfId="0" applyFont="1" applyFill="1" applyBorder="1" applyAlignment="1">
      <alignment horizontal="left" vertical="center" indent="2"/>
    </xf>
    <xf numFmtId="0" fontId="4" fillId="0" borderId="23" xfId="0" applyFont="1" applyBorder="1" applyAlignment="1">
      <alignment vertical="center"/>
    </xf>
    <xf numFmtId="3" fontId="4" fillId="0" borderId="23" xfId="0" applyNumberFormat="1" applyFont="1" applyBorder="1" applyAlignment="1">
      <alignment horizontal="right" vertical="center"/>
    </xf>
    <xf numFmtId="3" fontId="4" fillId="0" borderId="23" xfId="0" applyNumberFormat="1" applyFont="1" applyBorder="1" applyAlignment="1">
      <alignment vertical="center"/>
    </xf>
    <xf numFmtId="3" fontId="4" fillId="0" borderId="24" xfId="0" applyNumberFormat="1" applyFont="1" applyBorder="1" applyAlignment="1">
      <alignment vertical="center"/>
    </xf>
    <xf numFmtId="0" fontId="4" fillId="0" borderId="25" xfId="0" applyFont="1" applyFill="1" applyBorder="1" applyAlignment="1">
      <alignment horizontal="left" vertical="center" indent="2"/>
    </xf>
    <xf numFmtId="0" fontId="4" fillId="0" borderId="26" xfId="0" applyFont="1" applyBorder="1" applyAlignment="1">
      <alignment vertical="center"/>
    </xf>
    <xf numFmtId="3" fontId="4" fillId="0" borderId="26" xfId="0" applyNumberFormat="1" applyFont="1" applyBorder="1" applyAlignment="1">
      <alignment horizontal="right" vertical="center"/>
    </xf>
    <xf numFmtId="3" fontId="4" fillId="0" borderId="26" xfId="0" applyNumberFormat="1" applyFont="1" applyBorder="1" applyAlignment="1">
      <alignment vertical="center"/>
    </xf>
    <xf numFmtId="3" fontId="4" fillId="0" borderId="27" xfId="0" applyNumberFormat="1" applyFont="1" applyBorder="1" applyAlignment="1">
      <alignment vertical="center"/>
    </xf>
    <xf numFmtId="0" fontId="4" fillId="0" borderId="28" xfId="0" applyFont="1" applyFill="1" applyBorder="1" applyAlignment="1">
      <alignment horizontal="left" vertical="center" indent="2"/>
    </xf>
    <xf numFmtId="0" fontId="4" fillId="0" borderId="29" xfId="0" applyFont="1" applyBorder="1" applyAlignment="1">
      <alignment vertical="center"/>
    </xf>
    <xf numFmtId="3" fontId="4" fillId="0" borderId="29" xfId="0" applyNumberFormat="1" applyFont="1" applyBorder="1" applyAlignment="1">
      <alignment horizontal="right" vertical="center"/>
    </xf>
    <xf numFmtId="3" fontId="4" fillId="0" borderId="29" xfId="0" applyNumberFormat="1" applyFont="1" applyBorder="1" applyAlignment="1">
      <alignment vertical="center"/>
    </xf>
    <xf numFmtId="3" fontId="4" fillId="0" borderId="30" xfId="0" applyNumberFormat="1" applyFont="1" applyBorder="1" applyAlignment="1">
      <alignment vertical="center"/>
    </xf>
    <xf numFmtId="0" fontId="2" fillId="0" borderId="31" xfId="0" applyFont="1" applyFill="1" applyBorder="1" applyAlignment="1">
      <alignment vertical="center"/>
    </xf>
    <xf numFmtId="0" fontId="3" fillId="0" borderId="22" xfId="0" applyFont="1" applyFill="1" applyBorder="1" applyAlignment="1">
      <alignment horizontal="left" vertical="center" indent="2"/>
    </xf>
    <xf numFmtId="0" fontId="4" fillId="0" borderId="32" xfId="0" applyFont="1" applyFill="1" applyBorder="1" applyAlignment="1">
      <alignment horizontal="left" vertical="center" indent="2"/>
    </xf>
    <xf numFmtId="0" fontId="4" fillId="0" borderId="33" xfId="0" applyFont="1" applyBorder="1" applyAlignment="1">
      <alignment vertical="center"/>
    </xf>
    <xf numFmtId="3" fontId="4" fillId="0" borderId="33" xfId="0" applyNumberFormat="1" applyFont="1" applyBorder="1" applyAlignment="1">
      <alignment horizontal="right" vertical="center"/>
    </xf>
    <xf numFmtId="3" fontId="4" fillId="0" borderId="33" xfId="0" applyNumberFormat="1" applyFont="1" applyBorder="1" applyAlignment="1">
      <alignment vertical="center"/>
    </xf>
    <xf numFmtId="3" fontId="4" fillId="0" borderId="34" xfId="0" applyNumberFormat="1" applyFont="1" applyBorder="1" applyAlignment="1">
      <alignment vertical="center"/>
    </xf>
    <xf numFmtId="0" fontId="4" fillId="0" borderId="28" xfId="0" applyFont="1" applyFill="1" applyBorder="1" applyAlignment="1">
      <alignment vertical="center"/>
    </xf>
    <xf numFmtId="0" fontId="0" fillId="0" borderId="29" xfId="0" applyBorder="1"/>
    <xf numFmtId="0" fontId="0" fillId="0" borderId="30" xfId="0" applyBorder="1"/>
    <xf numFmtId="0" fontId="4" fillId="0" borderId="35" xfId="0" applyFont="1" applyFill="1" applyBorder="1" applyAlignment="1">
      <alignment vertical="center"/>
    </xf>
    <xf numFmtId="0" fontId="2" fillId="0" borderId="28" xfId="0" applyFont="1" applyFill="1" applyBorder="1" applyAlignment="1">
      <alignment vertical="center"/>
    </xf>
    <xf numFmtId="0" fontId="2" fillId="0" borderId="36" xfId="0" applyFont="1" applyBorder="1" applyAlignment="1">
      <alignment vertical="center"/>
    </xf>
    <xf numFmtId="3" fontId="2" fillId="0" borderId="36" xfId="0" applyNumberFormat="1" applyFont="1" applyBorder="1" applyAlignment="1">
      <alignment horizontal="right" vertical="center"/>
    </xf>
    <xf numFmtId="3" fontId="2" fillId="0" borderId="36" xfId="0" applyNumberFormat="1" applyFont="1" applyBorder="1" applyAlignment="1">
      <alignment vertical="center"/>
    </xf>
    <xf numFmtId="3" fontId="2" fillId="0" borderId="37" xfId="0" applyNumberFormat="1" applyFont="1" applyBorder="1" applyAlignment="1">
      <alignment vertical="center"/>
    </xf>
    <xf numFmtId="0" fontId="4" fillId="0" borderId="28" xfId="0" applyFont="1" applyBorder="1" applyAlignment="1">
      <alignment vertical="center"/>
    </xf>
    <xf numFmtId="0" fontId="2" fillId="0" borderId="28"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36" xfId="0" applyFont="1" applyBorder="1" applyAlignment="1">
      <alignment horizontal="center" vertical="center"/>
    </xf>
    <xf numFmtId="3" fontId="4" fillId="0" borderId="37" xfId="0" applyNumberFormat="1" applyFont="1" applyBorder="1" applyAlignment="1">
      <alignment vertical="center"/>
    </xf>
    <xf numFmtId="0" fontId="4" fillId="0" borderId="29" xfId="0" applyFont="1" applyBorder="1" applyAlignment="1">
      <alignment horizontal="center" vertical="center"/>
    </xf>
    <xf numFmtId="3" fontId="2" fillId="0" borderId="30" xfId="0" applyNumberFormat="1"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3" fontId="2" fillId="0" borderId="39" xfId="0" applyNumberFormat="1" applyFont="1" applyBorder="1" applyAlignment="1">
      <alignment horizontal="center" vertical="center"/>
    </xf>
    <xf numFmtId="3" fontId="2" fillId="0" borderId="39" xfId="0" applyNumberFormat="1" applyFont="1" applyBorder="1" applyAlignment="1">
      <alignment vertical="center"/>
    </xf>
    <xf numFmtId="3" fontId="2" fillId="0" borderId="40" xfId="0" applyNumberFormat="1" applyFont="1" applyBorder="1" applyAlignment="1">
      <alignment vertical="center"/>
    </xf>
    <xf numFmtId="0" fontId="29" fillId="0" borderId="0" xfId="0" applyFont="1" applyBorder="1"/>
    <xf numFmtId="0" fontId="4" fillId="11" borderId="2" xfId="0" applyFont="1" applyFill="1" applyBorder="1" applyAlignment="1">
      <alignment horizontal="center" vertical="center" wrapText="1"/>
    </xf>
    <xf numFmtId="0" fontId="17" fillId="9" borderId="4" xfId="0" applyFont="1" applyFill="1" applyBorder="1" applyAlignment="1">
      <alignment horizontal="left" vertical="center" wrapText="1"/>
    </xf>
    <xf numFmtId="0" fontId="30" fillId="9" borderId="2" xfId="0" applyFont="1" applyFill="1" applyBorder="1" applyAlignment="1">
      <alignment horizontal="center" vertical="center" wrapText="1"/>
    </xf>
    <xf numFmtId="167" fontId="31" fillId="0" borderId="2" xfId="0" applyNumberFormat="1" applyFont="1" applyFill="1" applyBorder="1" applyAlignment="1">
      <alignment horizontal="center" vertical="center" wrapText="1"/>
    </xf>
    <xf numFmtId="167" fontId="31" fillId="9" borderId="2" xfId="0" applyNumberFormat="1" applyFont="1" applyFill="1" applyBorder="1" applyAlignment="1">
      <alignment horizontal="center" vertical="center" wrapText="1"/>
    </xf>
    <xf numFmtId="167" fontId="31" fillId="9" borderId="14" xfId="0" applyNumberFormat="1" applyFont="1" applyFill="1" applyBorder="1" applyAlignment="1">
      <alignment horizontal="center" vertical="center" wrapText="1"/>
    </xf>
    <xf numFmtId="167" fontId="31" fillId="9" borderId="5" xfId="0" applyNumberFormat="1" applyFont="1" applyFill="1" applyBorder="1" applyAlignment="1">
      <alignment horizontal="center" vertical="center" wrapText="1"/>
    </xf>
    <xf numFmtId="0" fontId="31" fillId="0" borderId="0" xfId="0" applyFont="1" applyAlignment="1">
      <alignment horizontal="left" vertical="center"/>
    </xf>
    <xf numFmtId="0" fontId="29" fillId="0" borderId="0" xfId="0" applyNumberFormat="1" applyFont="1" applyBorder="1"/>
    <xf numFmtId="0" fontId="29" fillId="0" borderId="14" xfId="0" applyFont="1" applyBorder="1"/>
    <xf numFmtId="0" fontId="3" fillId="9" borderId="15" xfId="0" applyFont="1" applyFill="1" applyBorder="1" applyAlignment="1">
      <alignment horizontal="center" vertical="center"/>
    </xf>
    <xf numFmtId="0" fontId="3" fillId="9" borderId="15" xfId="0" applyFont="1" applyFill="1" applyBorder="1" applyAlignment="1">
      <alignment horizontal="center" vertical="center" wrapText="1"/>
    </xf>
    <xf numFmtId="3" fontId="3" fillId="9" borderId="15" xfId="0" applyNumberFormat="1" applyFont="1" applyFill="1" applyBorder="1" applyAlignment="1">
      <alignment horizontal="right" vertical="center" wrapText="1"/>
    </xf>
    <xf numFmtId="167" fontId="3" fillId="9" borderId="15" xfId="0" applyNumberFormat="1" applyFont="1" applyFill="1" applyBorder="1" applyAlignment="1">
      <alignment horizontal="center" vertical="center" wrapText="1"/>
    </xf>
    <xf numFmtId="3" fontId="4" fillId="10" borderId="13" xfId="0" applyNumberFormat="1" applyFont="1" applyFill="1" applyBorder="1" applyAlignment="1">
      <alignment horizontal="right" vertical="center"/>
    </xf>
    <xf numFmtId="0" fontId="3" fillId="10" borderId="6" xfId="0" applyFont="1" applyFill="1" applyBorder="1" applyAlignment="1">
      <alignment horizontal="center" vertical="center"/>
    </xf>
    <xf numFmtId="49" fontId="3" fillId="10" borderId="6" xfId="0" applyNumberFormat="1" applyFont="1" applyFill="1" applyBorder="1" applyAlignment="1">
      <alignment horizontal="center" vertical="center" wrapText="1"/>
    </xf>
    <xf numFmtId="0" fontId="3" fillId="10" borderId="4" xfId="0" applyFont="1" applyFill="1" applyBorder="1" applyAlignment="1">
      <alignment horizontal="left" vertical="center" wrapText="1"/>
    </xf>
    <xf numFmtId="0" fontId="19" fillId="10" borderId="6" xfId="0" applyFont="1" applyFill="1" applyBorder="1" applyAlignment="1">
      <alignment horizontal="center" vertical="center" wrapText="1"/>
    </xf>
    <xf numFmtId="0" fontId="3" fillId="10" borderId="6" xfId="0" applyFont="1" applyFill="1" applyBorder="1" applyAlignment="1">
      <alignment horizontal="center" vertical="center" wrapText="1"/>
    </xf>
    <xf numFmtId="3" fontId="3" fillId="10" borderId="6" xfId="0" applyNumberFormat="1" applyFont="1" applyFill="1" applyBorder="1" applyAlignment="1">
      <alignment horizontal="right" vertical="center"/>
    </xf>
    <xf numFmtId="167" fontId="3" fillId="10" borderId="6" xfId="0" applyNumberFormat="1" applyFont="1" applyFill="1" applyBorder="1" applyAlignment="1">
      <alignment horizontal="center" vertical="center" wrapText="1"/>
    </xf>
    <xf numFmtId="167" fontId="3" fillId="10" borderId="10" xfId="0" applyNumberFormat="1" applyFont="1" applyFill="1" applyBorder="1" applyAlignment="1">
      <alignment horizontal="center" vertical="center" wrapText="1"/>
    </xf>
    <xf numFmtId="0" fontId="3" fillId="10" borderId="9" xfId="0" applyFont="1" applyFill="1" applyBorder="1" applyAlignment="1">
      <alignment horizontal="center" vertical="center"/>
    </xf>
    <xf numFmtId="49" fontId="3" fillId="10" borderId="9" xfId="0" applyNumberFormat="1" applyFont="1" applyFill="1" applyBorder="1" applyAlignment="1">
      <alignment horizontal="center" vertical="center" wrapText="1"/>
    </xf>
    <xf numFmtId="0" fontId="32" fillId="10" borderId="9" xfId="0" applyFont="1" applyFill="1" applyBorder="1" applyAlignment="1">
      <alignment horizontal="center" vertical="center"/>
    </xf>
    <xf numFmtId="0" fontId="3" fillId="10" borderId="9" xfId="0" applyFont="1" applyFill="1" applyBorder="1" applyAlignment="1">
      <alignment horizontal="center" vertical="center" wrapText="1"/>
    </xf>
    <xf numFmtId="3" fontId="3" fillId="10" borderId="9" xfId="0" applyNumberFormat="1" applyFont="1" applyFill="1" applyBorder="1" applyAlignment="1">
      <alignment horizontal="right" vertical="center"/>
    </xf>
    <xf numFmtId="167" fontId="3" fillId="10" borderId="9" xfId="0" applyNumberFormat="1" applyFont="1" applyFill="1" applyBorder="1" applyAlignment="1">
      <alignment horizontal="center" vertical="center" wrapText="1"/>
    </xf>
    <xf numFmtId="0" fontId="32" fillId="10" borderId="9" xfId="0" applyFont="1" applyFill="1" applyBorder="1" applyAlignment="1">
      <alignment horizontal="center" vertical="center" wrapText="1"/>
    </xf>
    <xf numFmtId="0" fontId="32" fillId="10" borderId="9" xfId="0" applyFont="1" applyFill="1" applyBorder="1" applyAlignment="1">
      <alignment horizontal="center"/>
    </xf>
    <xf numFmtId="4" fontId="0" fillId="0" borderId="0" xfId="0" applyNumberFormat="1"/>
    <xf numFmtId="171" fontId="0" fillId="0" borderId="0" xfId="0" applyNumberFormat="1"/>
    <xf numFmtId="0" fontId="17" fillId="9" borderId="4" xfId="0" applyFont="1" applyFill="1" applyBorder="1" applyAlignment="1">
      <alignment horizontal="left" vertical="center" wrapText="1"/>
    </xf>
    <xf numFmtId="3" fontId="4" fillId="9" borderId="10" xfId="0" applyNumberFormat="1" applyFont="1" applyFill="1" applyBorder="1" applyAlignment="1">
      <alignment horizontal="right" vertical="center" wrapText="1"/>
    </xf>
    <xf numFmtId="0" fontId="3" fillId="9" borderId="7" xfId="0" applyFont="1" applyFill="1" applyBorder="1" applyAlignment="1">
      <alignment horizontal="center" vertical="center"/>
    </xf>
    <xf numFmtId="49" fontId="3" fillId="9" borderId="15" xfId="0" applyNumberFormat="1" applyFont="1" applyFill="1" applyBorder="1" applyAlignment="1">
      <alignment horizontal="center" vertical="center" wrapText="1"/>
    </xf>
    <xf numFmtId="0" fontId="17" fillId="9" borderId="15" xfId="0" applyFont="1" applyFill="1" applyBorder="1" applyAlignment="1">
      <alignment horizontal="left" vertical="center" wrapText="1"/>
    </xf>
    <xf numFmtId="0" fontId="3" fillId="9" borderId="15" xfId="0" applyFont="1" applyFill="1" applyBorder="1" applyAlignment="1">
      <alignment horizontal="left" vertical="center" wrapText="1"/>
    </xf>
    <xf numFmtId="0" fontId="17" fillId="9" borderId="13" xfId="0" applyFont="1" applyFill="1" applyBorder="1" applyAlignment="1">
      <alignment horizontal="left" vertical="center" wrapText="1"/>
    </xf>
    <xf numFmtId="3" fontId="3" fillId="9" borderId="12" xfId="0" applyNumberFormat="1" applyFont="1" applyFill="1" applyBorder="1" applyAlignment="1">
      <alignment horizontal="right" vertical="center" wrapText="1"/>
    </xf>
    <xf numFmtId="167" fontId="31" fillId="9" borderId="11" xfId="0" applyNumberFormat="1" applyFont="1" applyFill="1" applyBorder="1" applyAlignment="1">
      <alignment horizontal="center" vertical="center" wrapText="1"/>
    </xf>
    <xf numFmtId="0" fontId="33" fillId="2" borderId="0" xfId="0" applyFont="1" applyFill="1" applyBorder="1" applyAlignment="1">
      <alignment vertical="center"/>
    </xf>
    <xf numFmtId="0" fontId="33" fillId="9" borderId="0" xfId="0" applyFont="1" applyFill="1" applyBorder="1" applyAlignment="1">
      <alignment vertical="center"/>
    </xf>
    <xf numFmtId="0" fontId="17" fillId="9" borderId="1" xfId="0" applyFont="1" applyFill="1" applyBorder="1" applyAlignment="1">
      <alignment horizontal="left" vertical="center" wrapText="1"/>
    </xf>
    <xf numFmtId="169" fontId="3" fillId="9" borderId="4" xfId="0" applyNumberFormat="1" applyFont="1" applyFill="1" applyBorder="1" applyAlignment="1">
      <alignment horizontal="right" vertical="center"/>
    </xf>
    <xf numFmtId="167" fontId="3" fillId="8" borderId="10" xfId="0" applyNumberFormat="1" applyFont="1" applyFill="1" applyBorder="1" applyAlignment="1">
      <alignment horizontal="center" vertical="center" wrapText="1"/>
    </xf>
    <xf numFmtId="0" fontId="4" fillId="9" borderId="1" xfId="0" applyFont="1" applyFill="1" applyBorder="1" applyAlignment="1">
      <alignment horizontal="left" vertical="center" wrapText="1"/>
    </xf>
    <xf numFmtId="0" fontId="4" fillId="9" borderId="5" xfId="0" applyFont="1" applyFill="1" applyBorder="1" applyAlignment="1">
      <alignment horizontal="left" vertical="center" wrapText="1"/>
    </xf>
    <xf numFmtId="49" fontId="3" fillId="0" borderId="4" xfId="0" applyNumberFormat="1" applyFont="1" applyFill="1" applyBorder="1" applyAlignment="1">
      <alignment horizontal="center" vertical="center" wrapText="1"/>
    </xf>
    <xf numFmtId="0" fontId="17" fillId="0" borderId="4" xfId="0" applyFont="1" applyFill="1" applyBorder="1" applyAlignment="1">
      <alignment horizontal="left" vertical="center" wrapText="1"/>
    </xf>
    <xf numFmtId="167" fontId="30" fillId="9" borderId="5" xfId="0" applyNumberFormat="1" applyFont="1" applyFill="1" applyBorder="1" applyAlignment="1">
      <alignment horizontal="center" vertical="center"/>
    </xf>
    <xf numFmtId="0" fontId="3" fillId="9" borderId="5"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4" xfId="0" applyFont="1" applyFill="1" applyBorder="1" applyAlignment="1">
      <alignment horizontal="center" vertical="center" wrapText="1"/>
    </xf>
    <xf numFmtId="3" fontId="3" fillId="7" borderId="4" xfId="0" applyNumberFormat="1" applyFont="1" applyFill="1" applyBorder="1" applyAlignment="1">
      <alignment horizontal="right" vertical="center"/>
    </xf>
    <xf numFmtId="167" fontId="3" fillId="7" borderId="4" xfId="0" applyNumberFormat="1" applyFont="1" applyFill="1" applyBorder="1" applyAlignment="1">
      <alignment horizontal="center" vertical="center" wrapText="1"/>
    </xf>
    <xf numFmtId="167" fontId="3" fillId="7" borderId="5" xfId="0" applyNumberFormat="1" applyFont="1" applyFill="1" applyBorder="1" applyAlignment="1">
      <alignment horizontal="center" vertical="center" wrapText="1"/>
    </xf>
    <xf numFmtId="0" fontId="3" fillId="7" borderId="2" xfId="0" applyFont="1" applyFill="1" applyBorder="1" applyAlignment="1">
      <alignment horizontal="center" vertical="center"/>
    </xf>
    <xf numFmtId="49" fontId="3" fillId="7" borderId="2" xfId="0" applyNumberFormat="1" applyFont="1" applyFill="1" applyBorder="1" applyAlignment="1">
      <alignment horizontal="center" vertical="center" wrapText="1"/>
    </xf>
    <xf numFmtId="0" fontId="3" fillId="7" borderId="12" xfId="0" applyFont="1" applyFill="1" applyBorder="1" applyAlignment="1">
      <alignment horizontal="left" vertical="center" wrapText="1"/>
    </xf>
    <xf numFmtId="0" fontId="3" fillId="9" borderId="2" xfId="0" applyFont="1" applyFill="1" applyBorder="1" applyAlignment="1">
      <alignment horizontal="right" vertical="center" wrapText="1"/>
    </xf>
    <xf numFmtId="0" fontId="3" fillId="9" borderId="1" xfId="0" applyFont="1" applyFill="1" applyBorder="1" applyAlignment="1">
      <alignment horizontal="left" vertical="center" wrapText="1"/>
    </xf>
    <xf numFmtId="0" fontId="17" fillId="9" borderId="1" xfId="0" applyFont="1" applyFill="1" applyBorder="1" applyAlignment="1">
      <alignment horizontal="left" vertical="center" wrapText="1"/>
    </xf>
    <xf numFmtId="0" fontId="3" fillId="9" borderId="5" xfId="0" applyFont="1" applyFill="1" applyBorder="1" applyAlignment="1">
      <alignment horizontal="left" vertical="center" wrapText="1"/>
    </xf>
    <xf numFmtId="0" fontId="17" fillId="9" borderId="1" xfId="0" applyFont="1" applyFill="1" applyBorder="1" applyAlignment="1">
      <alignment horizontal="left" vertical="center" wrapText="1"/>
    </xf>
    <xf numFmtId="0" fontId="3" fillId="9" borderId="5" xfId="0" applyFont="1" applyFill="1" applyBorder="1" applyAlignment="1">
      <alignment horizontal="left" vertical="center" wrapText="1"/>
    </xf>
    <xf numFmtId="4" fontId="34" fillId="9" borderId="0" xfId="0" applyNumberFormat="1" applyFont="1" applyFill="1" applyBorder="1" applyAlignment="1">
      <alignment horizontal="center" vertical="center" wrapText="1"/>
    </xf>
    <xf numFmtId="3" fontId="25" fillId="9" borderId="0" xfId="0" applyNumberFormat="1" applyFont="1" applyFill="1" applyBorder="1" applyAlignment="1">
      <alignment vertical="center"/>
    </xf>
    <xf numFmtId="3" fontId="3" fillId="0" borderId="10" xfId="0" applyNumberFormat="1" applyFont="1" applyFill="1" applyBorder="1" applyAlignment="1">
      <alignment horizontal="right" vertical="center"/>
    </xf>
    <xf numFmtId="3" fontId="3" fillId="9" borderId="13" xfId="0" applyNumberFormat="1" applyFont="1" applyFill="1" applyBorder="1" applyAlignment="1">
      <alignment horizontal="right" vertical="center"/>
    </xf>
    <xf numFmtId="3" fontId="4" fillId="9" borderId="10" xfId="0" applyNumberFormat="1" applyFont="1" applyFill="1" applyBorder="1" applyAlignment="1">
      <alignment horizontal="right" vertical="center"/>
    </xf>
    <xf numFmtId="167" fontId="3" fillId="9" borderId="10" xfId="0" applyNumberFormat="1" applyFont="1" applyFill="1" applyBorder="1" applyAlignment="1">
      <alignment horizontal="center" vertical="center" wrapText="1"/>
    </xf>
    <xf numFmtId="167" fontId="4" fillId="9" borderId="4" xfId="0" applyNumberFormat="1" applyFont="1" applyFill="1" applyBorder="1" applyAlignment="1">
      <alignment horizontal="center" vertical="center"/>
    </xf>
    <xf numFmtId="3" fontId="1" fillId="9" borderId="4" xfId="0" applyNumberFormat="1" applyFont="1" applyFill="1" applyBorder="1" applyAlignment="1">
      <alignment horizontal="center" vertical="center"/>
    </xf>
    <xf numFmtId="0" fontId="1" fillId="9" borderId="4" xfId="0" applyFont="1" applyFill="1" applyBorder="1" applyAlignment="1">
      <alignment horizontal="center" vertical="center"/>
    </xf>
    <xf numFmtId="0" fontId="4" fillId="10" borderId="6" xfId="0" applyFont="1" applyFill="1" applyBorder="1" applyAlignment="1">
      <alignment horizontal="center" vertical="center"/>
    </xf>
    <xf numFmtId="49" fontId="4" fillId="10" borderId="6" xfId="0" applyNumberFormat="1" applyFont="1" applyFill="1" applyBorder="1" applyAlignment="1">
      <alignment horizontal="center" vertical="center" wrapText="1"/>
    </xf>
    <xf numFmtId="0" fontId="4" fillId="10" borderId="7" xfId="0" applyFont="1" applyFill="1" applyBorder="1" applyAlignment="1">
      <alignment horizontal="left" vertical="center"/>
    </xf>
    <xf numFmtId="0" fontId="3" fillId="10" borderId="8" xfId="0" applyFont="1" applyFill="1" applyBorder="1" applyAlignment="1">
      <alignment horizontal="left" vertical="center" wrapText="1"/>
    </xf>
    <xf numFmtId="0" fontId="4" fillId="10" borderId="6" xfId="0" applyFont="1" applyFill="1" applyBorder="1" applyAlignment="1">
      <alignment horizontal="center" vertical="center" wrapText="1"/>
    </xf>
    <xf numFmtId="0" fontId="30" fillId="10" borderId="6" xfId="0" applyFont="1" applyFill="1" applyBorder="1" applyAlignment="1">
      <alignment horizontal="center" vertical="center" wrapText="1"/>
    </xf>
    <xf numFmtId="3" fontId="3" fillId="10" borderId="7" xfId="0" applyNumberFormat="1" applyFont="1" applyFill="1" applyBorder="1" applyAlignment="1">
      <alignment horizontal="right" vertical="center"/>
    </xf>
    <xf numFmtId="3" fontId="4" fillId="10" borderId="6" xfId="0" applyNumberFormat="1" applyFont="1" applyFill="1" applyBorder="1" applyAlignment="1">
      <alignment horizontal="right" vertical="center" wrapText="1"/>
    </xf>
    <xf numFmtId="3" fontId="3" fillId="10" borderId="6" xfId="0" applyNumberFormat="1" applyFont="1" applyFill="1" applyBorder="1" applyAlignment="1">
      <alignment horizontal="right" vertical="center" wrapText="1"/>
    </xf>
    <xf numFmtId="0" fontId="4" fillId="10" borderId="1" xfId="0" applyFont="1" applyFill="1" applyBorder="1" applyAlignment="1">
      <alignment horizontal="left" vertical="center" wrapText="1"/>
    </xf>
    <xf numFmtId="0" fontId="4" fillId="10" borderId="5" xfId="0" applyFont="1" applyFill="1" applyBorder="1" applyAlignment="1">
      <alignment horizontal="left" vertical="center" wrapText="1"/>
    </xf>
    <xf numFmtId="172" fontId="4" fillId="9" borderId="4" xfId="0" applyNumberFormat="1" applyFont="1" applyFill="1" applyBorder="1" applyAlignment="1">
      <alignment horizontal="right" vertical="center"/>
    </xf>
    <xf numFmtId="0" fontId="35" fillId="10" borderId="0" xfId="0" applyFont="1" applyFill="1" applyBorder="1" applyAlignment="1">
      <alignment vertical="center"/>
    </xf>
    <xf numFmtId="3" fontId="3" fillId="0" borderId="4" xfId="0" applyNumberFormat="1" applyFont="1" applyFill="1" applyBorder="1" applyAlignment="1">
      <alignment horizontal="center" vertical="center" wrapText="1"/>
    </xf>
    <xf numFmtId="3" fontId="4" fillId="9" borderId="0" xfId="0" applyNumberFormat="1" applyFont="1" applyFill="1" applyBorder="1" applyAlignment="1">
      <alignment vertical="center"/>
    </xf>
    <xf numFmtId="3" fontId="2" fillId="0" borderId="0" xfId="0" applyNumberFormat="1" applyFont="1" applyFill="1" applyBorder="1" applyAlignment="1">
      <alignment vertical="center"/>
    </xf>
    <xf numFmtId="170" fontId="36" fillId="0" borderId="0" xfId="0" applyNumberFormat="1" applyFont="1" applyBorder="1" applyAlignment="1">
      <alignment horizontal="center" vertical="center"/>
    </xf>
    <xf numFmtId="0" fontId="36" fillId="0" borderId="0" xfId="0" applyFont="1" applyBorder="1" applyAlignment="1">
      <alignment horizontal="center" vertical="center"/>
    </xf>
    <xf numFmtId="169" fontId="36" fillId="0" borderId="0" xfId="0" applyNumberFormat="1" applyFont="1" applyBorder="1" applyAlignment="1">
      <alignment horizontal="center" vertical="center"/>
    </xf>
    <xf numFmtId="0" fontId="36" fillId="5"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25" fillId="3" borderId="0" xfId="0" applyFont="1" applyFill="1" applyBorder="1" applyAlignment="1">
      <alignment vertical="center"/>
    </xf>
    <xf numFmtId="0" fontId="25" fillId="8" borderId="0" xfId="0" applyFont="1" applyFill="1" applyBorder="1" applyAlignment="1">
      <alignment horizontal="center" vertical="center" wrapText="1"/>
    </xf>
    <xf numFmtId="4" fontId="37" fillId="9" borderId="0" xfId="0" applyNumberFormat="1" applyFont="1" applyFill="1" applyBorder="1" applyAlignment="1">
      <alignment horizontal="center" vertical="center" wrapText="1"/>
    </xf>
    <xf numFmtId="0" fontId="34" fillId="0" borderId="0" xfId="0" applyFont="1" applyFill="1" applyBorder="1" applyAlignment="1">
      <alignment horizontal="center" vertical="center" wrapText="1"/>
    </xf>
    <xf numFmtId="3" fontId="34" fillId="10" borderId="0" xfId="0" applyNumberFormat="1" applyFont="1" applyFill="1" applyBorder="1" applyAlignment="1">
      <alignment horizontal="center" vertical="center" wrapText="1"/>
    </xf>
    <xf numFmtId="3" fontId="34" fillId="0" borderId="0" xfId="0" applyNumberFormat="1" applyFont="1" applyFill="1" applyBorder="1" applyAlignment="1">
      <alignment horizontal="center" vertical="center" wrapText="1"/>
    </xf>
    <xf numFmtId="0" fontId="35" fillId="8" borderId="0" xfId="0" applyFont="1" applyFill="1" applyBorder="1" applyAlignment="1">
      <alignment horizontal="center" vertical="center" wrapText="1"/>
    </xf>
    <xf numFmtId="4" fontId="38" fillId="0" borderId="0" xfId="0" applyNumberFormat="1" applyFont="1" applyBorder="1" applyAlignment="1">
      <alignment horizontal="center" vertical="center" wrapText="1"/>
    </xf>
    <xf numFmtId="4" fontId="34" fillId="0" borderId="0" xfId="0" applyNumberFormat="1" applyFont="1" applyFill="1" applyBorder="1" applyAlignment="1">
      <alignment horizontal="center" vertical="center" wrapText="1"/>
    </xf>
    <xf numFmtId="164" fontId="25" fillId="0" borderId="0" xfId="0" applyNumberFormat="1" applyFont="1" applyFill="1" applyBorder="1" applyAlignment="1">
      <alignment horizontal="center" vertical="center" wrapText="1"/>
    </xf>
    <xf numFmtId="4" fontId="34" fillId="1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3" fontId="25" fillId="0" borderId="0" xfId="0" applyNumberFormat="1" applyFont="1" applyFill="1" applyBorder="1" applyAlignment="1">
      <alignment horizontal="center" vertical="center" wrapText="1"/>
    </xf>
    <xf numFmtId="170" fontId="25" fillId="0" borderId="0" xfId="0" applyNumberFormat="1" applyFont="1" applyFill="1" applyBorder="1" applyAlignment="1">
      <alignment horizontal="center" vertical="center" wrapText="1"/>
    </xf>
    <xf numFmtId="0" fontId="35" fillId="0" borderId="0" xfId="0" applyFont="1" applyBorder="1" applyAlignment="1">
      <alignment horizontal="center" vertical="center" wrapText="1"/>
    </xf>
    <xf numFmtId="3" fontId="25" fillId="0" borderId="0" xfId="0" applyNumberFormat="1" applyFont="1" applyBorder="1" applyAlignment="1">
      <alignment vertical="center"/>
    </xf>
    <xf numFmtId="3" fontId="35" fillId="0" borderId="0" xfId="0" applyNumberFormat="1" applyFont="1" applyBorder="1" applyAlignment="1">
      <alignment horizontal="center" vertical="center" wrapText="1"/>
    </xf>
    <xf numFmtId="4" fontId="35" fillId="0" borderId="0" xfId="0" applyNumberFormat="1" applyFont="1" applyBorder="1" applyAlignment="1">
      <alignment horizontal="center" vertical="center" wrapText="1"/>
    </xf>
    <xf numFmtId="0" fontId="35" fillId="9" borderId="0" xfId="0" applyFont="1" applyFill="1" applyBorder="1" applyAlignment="1">
      <alignment horizontal="center" vertical="center" wrapText="1"/>
    </xf>
    <xf numFmtId="4" fontId="35" fillId="9" borderId="0" xfId="0" applyNumberFormat="1" applyFont="1" applyFill="1" applyBorder="1" applyAlignment="1">
      <alignment horizontal="center" vertical="center" wrapText="1"/>
    </xf>
    <xf numFmtId="170" fontId="35" fillId="9" borderId="0" xfId="0" applyNumberFormat="1" applyFont="1" applyFill="1" applyBorder="1" applyAlignment="1">
      <alignment horizontal="center" vertical="center" wrapText="1"/>
    </xf>
    <xf numFmtId="166" fontId="35" fillId="9" borderId="0" xfId="0" applyNumberFormat="1" applyFont="1" applyFill="1" applyBorder="1" applyAlignment="1">
      <alignment horizontal="center" vertical="center" wrapText="1"/>
    </xf>
    <xf numFmtId="4" fontId="34" fillId="7" borderId="0" xfId="0" applyNumberFormat="1" applyFont="1" applyFill="1" applyBorder="1" applyAlignment="1">
      <alignment horizontal="center" vertical="center" wrapText="1"/>
    </xf>
    <xf numFmtId="3" fontId="35" fillId="9" borderId="0" xfId="0" applyNumberFormat="1" applyFont="1" applyFill="1" applyBorder="1" applyAlignment="1">
      <alignment horizontal="center" vertical="center" wrapText="1"/>
    </xf>
    <xf numFmtId="4" fontId="37" fillId="7" borderId="0" xfId="0" applyNumberFormat="1" applyFont="1" applyFill="1" applyBorder="1" applyAlignment="1">
      <alignment horizontal="center" vertical="center" wrapText="1"/>
    </xf>
    <xf numFmtId="169" fontId="35" fillId="9" borderId="0" xfId="0" applyNumberFormat="1" applyFont="1" applyFill="1" applyBorder="1" applyAlignment="1">
      <alignment horizontal="center" vertical="center" wrapText="1"/>
    </xf>
    <xf numFmtId="4" fontId="38" fillId="9" borderId="0" xfId="0" applyNumberFormat="1" applyFont="1" applyFill="1" applyBorder="1" applyAlignment="1">
      <alignment horizontal="center" vertical="center" wrapText="1"/>
    </xf>
    <xf numFmtId="3" fontId="25" fillId="10" borderId="0" xfId="0" applyNumberFormat="1" applyFont="1" applyFill="1" applyBorder="1" applyAlignment="1">
      <alignment horizontal="right" vertical="center"/>
    </xf>
    <xf numFmtId="3" fontId="35" fillId="10" borderId="0" xfId="0" applyNumberFormat="1" applyFont="1" applyFill="1" applyBorder="1" applyAlignment="1">
      <alignment horizontal="center" vertical="center" wrapText="1"/>
    </xf>
    <xf numFmtId="4" fontId="38" fillId="0" borderId="0" xfId="0" applyNumberFormat="1" applyFont="1" applyBorder="1" applyAlignment="1">
      <alignment horizontal="center" vertical="center"/>
    </xf>
    <xf numFmtId="3" fontId="39" fillId="9" borderId="0" xfId="0" applyNumberFormat="1" applyFont="1" applyFill="1" applyBorder="1" applyAlignment="1">
      <alignment horizontal="center" vertical="center" wrapText="1"/>
    </xf>
    <xf numFmtId="3" fontId="35" fillId="9" borderId="0" xfId="0" applyNumberFormat="1" applyFont="1" applyFill="1" applyBorder="1"/>
    <xf numFmtId="0" fontId="25" fillId="9" borderId="0" xfId="0" applyFont="1" applyFill="1" applyBorder="1" applyAlignment="1">
      <alignment horizontal="left" vertical="center"/>
    </xf>
    <xf numFmtId="0" fontId="35" fillId="9" borderId="0" xfId="0" applyFont="1" applyFill="1" applyBorder="1"/>
    <xf numFmtId="4" fontId="35" fillId="9" borderId="0" xfId="0" applyNumberFormat="1" applyFont="1" applyFill="1" applyBorder="1"/>
    <xf numFmtId="3" fontId="35" fillId="0" borderId="0" xfId="0" applyNumberFormat="1" applyFont="1" applyFill="1" applyBorder="1"/>
    <xf numFmtId="0" fontId="37" fillId="0" borderId="0" xfId="0" applyFont="1" applyBorder="1" applyAlignment="1">
      <alignment horizontal="right"/>
    </xf>
    <xf numFmtId="173" fontId="40" fillId="4" borderId="0" xfId="0" applyNumberFormat="1" applyFont="1" applyFill="1" applyBorder="1"/>
    <xf numFmtId="3" fontId="35" fillId="9" borderId="0" xfId="0" applyNumberFormat="1" applyFont="1" applyFill="1" applyBorder="1" applyAlignment="1">
      <alignment horizontal="right" vertical="center"/>
    </xf>
    <xf numFmtId="3" fontId="35" fillId="0" borderId="0" xfId="0" applyNumberFormat="1" applyFont="1" applyFill="1" applyBorder="1" applyAlignment="1">
      <alignment horizontal="right" vertical="center"/>
    </xf>
    <xf numFmtId="3" fontId="25" fillId="9" borderId="0" xfId="0" applyNumberFormat="1" applyFont="1" applyFill="1" applyBorder="1" applyAlignment="1">
      <alignment horizontal="right" vertical="center"/>
    </xf>
    <xf numFmtId="0" fontId="35" fillId="0" borderId="0" xfId="0" applyFont="1" applyFill="1" applyBorder="1" applyAlignment="1">
      <alignment horizontal="center" vertical="center" wrapText="1"/>
    </xf>
    <xf numFmtId="0" fontId="25" fillId="6" borderId="0" xfId="0" applyFont="1" applyFill="1" applyBorder="1" applyAlignment="1">
      <alignment horizontal="center" vertical="center" wrapText="1"/>
    </xf>
    <xf numFmtId="4" fontId="38" fillId="10" borderId="0" xfId="0" applyNumberFormat="1" applyFont="1" applyFill="1" applyBorder="1" applyAlignment="1">
      <alignment horizontal="center" vertical="center" wrapText="1"/>
    </xf>
    <xf numFmtId="4" fontId="25" fillId="9" borderId="0" xfId="0" applyNumberFormat="1" applyFont="1" applyFill="1" applyBorder="1" applyAlignment="1">
      <alignment horizontal="center" vertical="center" wrapText="1"/>
    </xf>
    <xf numFmtId="4" fontId="25" fillId="0" borderId="0" xfId="0" applyNumberFormat="1" applyFont="1" applyFill="1" applyBorder="1" applyAlignment="1">
      <alignment horizontal="center" vertical="center" wrapText="1"/>
    </xf>
    <xf numFmtId="3" fontId="34" fillId="0" borderId="0" xfId="0" applyNumberFormat="1" applyFont="1" applyFill="1" applyBorder="1" applyAlignment="1">
      <alignment vertical="center"/>
    </xf>
    <xf numFmtId="3" fontId="25" fillId="10" borderId="0" xfId="0" applyNumberFormat="1" applyFont="1" applyFill="1" applyBorder="1" applyAlignment="1">
      <alignment horizontal="center" vertical="center" wrapText="1"/>
    </xf>
    <xf numFmtId="0" fontId="25" fillId="10" borderId="0" xfId="0" applyFont="1" applyFill="1" applyBorder="1" applyAlignment="1">
      <alignment horizontal="center" vertical="center"/>
    </xf>
    <xf numFmtId="0" fontId="25" fillId="10" borderId="0" xfId="0" applyFont="1" applyFill="1" applyBorder="1" applyAlignment="1">
      <alignment vertical="center"/>
    </xf>
    <xf numFmtId="0" fontId="25" fillId="9" borderId="0" xfId="0" applyFont="1" applyFill="1" applyBorder="1" applyAlignment="1">
      <alignment horizontal="center" vertical="center"/>
    </xf>
    <xf numFmtId="0" fontId="25" fillId="9" borderId="0" xfId="0" applyFont="1" applyFill="1" applyBorder="1" applyAlignment="1">
      <alignment vertical="center"/>
    </xf>
    <xf numFmtId="0" fontId="25" fillId="9" borderId="0" xfId="0" applyFont="1" applyFill="1" applyBorder="1" applyAlignment="1">
      <alignment horizontal="center" vertical="center" wrapText="1"/>
    </xf>
    <xf numFmtId="0" fontId="36" fillId="0" borderId="0" xfId="0" applyFont="1" applyBorder="1" applyAlignment="1">
      <alignment horizontal="right" vertical="center"/>
    </xf>
    <xf numFmtId="3" fontId="3" fillId="0" borderId="0" xfId="0" applyNumberFormat="1" applyFont="1" applyFill="1" applyBorder="1" applyAlignment="1">
      <alignment vertical="center"/>
    </xf>
    <xf numFmtId="3" fontId="3" fillId="10" borderId="0" xfId="0" applyNumberFormat="1" applyFont="1" applyFill="1" applyBorder="1" applyAlignment="1">
      <alignment vertical="center"/>
    </xf>
    <xf numFmtId="3" fontId="3" fillId="9" borderId="0" xfId="0" applyNumberFormat="1" applyFont="1" applyFill="1" applyBorder="1" applyAlignment="1">
      <alignment vertical="center"/>
    </xf>
    <xf numFmtId="3" fontId="3" fillId="2" borderId="0" xfId="0" applyNumberFormat="1" applyFont="1" applyFill="1" applyBorder="1" applyAlignment="1">
      <alignment vertical="center"/>
    </xf>
    <xf numFmtId="0" fontId="4" fillId="3" borderId="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1" xfId="0" applyFill="1" applyBorder="1" applyAlignment="1">
      <alignment horizontal="center" vertical="center" wrapText="1"/>
    </xf>
    <xf numFmtId="0" fontId="4" fillId="5" borderId="1" xfId="0" applyFont="1" applyFill="1" applyBorder="1" applyAlignment="1">
      <alignment horizontal="center" vertical="center" wrapText="1"/>
    </xf>
    <xf numFmtId="0" fontId="0" fillId="5" borderId="5" xfId="0"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0" fillId="5" borderId="5" xfId="0" applyFill="1" applyBorder="1" applyAlignment="1">
      <alignment vertical="center" wrapText="1"/>
    </xf>
    <xf numFmtId="0" fontId="4" fillId="5" borderId="8" xfId="0" applyFont="1" applyFill="1" applyBorder="1" applyAlignment="1">
      <alignment vertical="center" wrapText="1"/>
    </xf>
    <xf numFmtId="0" fontId="12" fillId="5" borderId="14" xfId="0" applyFont="1" applyFill="1" applyBorder="1" applyAlignment="1">
      <alignment vertical="center" wrapText="1"/>
    </xf>
    <xf numFmtId="0" fontId="12" fillId="5" borderId="11" xfId="0" applyFont="1" applyFill="1" applyBorder="1" applyAlignment="1">
      <alignment vertical="center" wrapText="1"/>
    </xf>
    <xf numFmtId="0" fontId="4" fillId="5" borderId="5" xfId="0" applyFont="1" applyFill="1" applyBorder="1" applyAlignment="1">
      <alignment horizontal="center" vertical="center" wrapText="1"/>
    </xf>
    <xf numFmtId="0" fontId="4" fillId="5" borderId="1"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13" fillId="0" borderId="3" xfId="0" applyFont="1" applyBorder="1" applyAlignment="1">
      <alignment horizontal="center"/>
    </xf>
    <xf numFmtId="0" fontId="13" fillId="0" borderId="0"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4" fillId="5" borderId="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3" borderId="9" xfId="0" applyFill="1" applyBorder="1"/>
    <xf numFmtId="0" fontId="0" fillId="3" borderId="10" xfId="0" applyFill="1" applyBorder="1"/>
    <xf numFmtId="0" fontId="4" fillId="3" borderId="13" xfId="0" applyFont="1" applyFill="1" applyBorder="1" applyAlignment="1">
      <alignment horizontal="center" vertical="center" wrapText="1"/>
    </xf>
    <xf numFmtId="0" fontId="0" fillId="3" borderId="11" xfId="0" applyFill="1" applyBorder="1" applyAlignment="1"/>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5" xfId="0" applyFill="1" applyBorder="1"/>
    <xf numFmtId="0" fontId="0" fillId="3" borderId="5" xfId="0" applyFill="1" applyBorder="1" applyAlignment="1"/>
    <xf numFmtId="0" fontId="0" fillId="0" borderId="5" xfId="0" applyBorder="1" applyAlignment="1">
      <alignment horizontal="left" vertical="center" wrapText="1"/>
    </xf>
    <xf numFmtId="0" fontId="3" fillId="0" borderId="4" xfId="0" applyFont="1" applyBorder="1" applyAlignment="1">
      <alignment horizontal="left" vertical="center" wrapText="1"/>
    </xf>
    <xf numFmtId="0" fontId="1" fillId="5" borderId="6"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3" fillId="9" borderId="0" xfId="0" applyFont="1" applyFill="1" applyAlignment="1">
      <alignment horizontal="left" vertical="center" wrapText="1"/>
    </xf>
    <xf numFmtId="0" fontId="3" fillId="0" borderId="0" xfId="0" applyFont="1" applyAlignment="1">
      <alignment horizontal="left" vertical="center" wrapText="1"/>
    </xf>
    <xf numFmtId="0" fontId="1" fillId="5" borderId="6"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13" xfId="0" applyFont="1" applyFill="1" applyBorder="1" applyAlignment="1">
      <alignment horizontal="center" vertical="center"/>
    </xf>
    <xf numFmtId="0" fontId="17" fillId="9" borderId="1" xfId="0" applyFont="1" applyFill="1" applyBorder="1" applyAlignment="1">
      <alignment horizontal="left" vertical="center" wrapText="1"/>
    </xf>
    <xf numFmtId="0" fontId="17" fillId="9" borderId="4" xfId="0" applyFont="1" applyFill="1" applyBorder="1" applyAlignment="1">
      <alignment horizontal="left" vertical="center" wrapText="1"/>
    </xf>
    <xf numFmtId="3" fontId="1" fillId="5" borderId="4" xfId="0" applyNumberFormat="1" applyFont="1" applyFill="1" applyBorder="1" applyAlignment="1">
      <alignment horizontal="left" vertical="center" wrapText="1"/>
    </xf>
    <xf numFmtId="3" fontId="4" fillId="5" borderId="5" xfId="0" applyNumberFormat="1" applyFont="1" applyFill="1" applyBorder="1" applyAlignment="1">
      <alignment horizontal="left" vertical="center" wrapText="1"/>
    </xf>
    <xf numFmtId="0" fontId="3" fillId="6" borderId="1"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0" borderId="0" xfId="0" applyFont="1" applyFill="1" applyAlignment="1">
      <alignment horizontal="left" vertical="center" wrapText="1"/>
    </xf>
    <xf numFmtId="0" fontId="3" fillId="9" borderId="1" xfId="0" applyFont="1" applyFill="1" applyBorder="1" applyAlignment="1">
      <alignment horizontal="left" vertical="center" wrapText="1"/>
    </xf>
    <xf numFmtId="0" fontId="3" fillId="9" borderId="5" xfId="0" applyFont="1" applyFill="1" applyBorder="1" applyAlignment="1">
      <alignment horizontal="left" vertical="center" wrapText="1"/>
    </xf>
    <xf numFmtId="0" fontId="18" fillId="3" borderId="3" xfId="0" applyFont="1" applyFill="1" applyBorder="1" applyAlignment="1">
      <alignment horizontal="left" vertical="center"/>
    </xf>
    <xf numFmtId="0" fontId="18" fillId="3" borderId="0" xfId="0" applyFont="1" applyFill="1" applyBorder="1" applyAlignment="1">
      <alignment horizontal="left" vertical="center"/>
    </xf>
    <xf numFmtId="0" fontId="18" fillId="3" borderId="14" xfId="0" applyFont="1" applyFill="1" applyBorder="1" applyAlignment="1">
      <alignment horizontal="left" vertical="center"/>
    </xf>
    <xf numFmtId="49" fontId="18" fillId="3" borderId="13" xfId="0" applyNumberFormat="1" applyFont="1" applyFill="1" applyBorder="1" applyAlignment="1">
      <alignment horizontal="left" vertical="center"/>
    </xf>
    <xf numFmtId="49" fontId="18" fillId="3" borderId="12" xfId="0" applyNumberFormat="1" applyFont="1" applyFill="1" applyBorder="1" applyAlignment="1">
      <alignment horizontal="left" vertical="center"/>
    </xf>
    <xf numFmtId="49" fontId="18" fillId="3" borderId="11" xfId="0" applyNumberFormat="1" applyFont="1" applyFill="1" applyBorder="1" applyAlignment="1">
      <alignment horizontal="left" vertical="center"/>
    </xf>
    <xf numFmtId="0" fontId="1" fillId="5" borderId="1" xfId="0" applyFont="1" applyFill="1" applyBorder="1" applyAlignment="1">
      <alignment horizontal="center" vertical="center"/>
    </xf>
    <xf numFmtId="0" fontId="1" fillId="5" borderId="5" xfId="0" applyFont="1" applyFill="1" applyBorder="1" applyAlignment="1">
      <alignment horizontal="center" vertical="center"/>
    </xf>
  </cellXfs>
  <cellStyles count="2">
    <cellStyle name="Comma 2"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bkaralarli/Desktop/Documents%20and%20Settings/bkaralarli/Desktop/Bahadir/Procurement%20Plan/Banka%20Onayl&#305;%2012.09.2010%20ver1.1/TKMP%2022-a%20UYGULAMALARI%20&#304;HALE%20TAKV&#304;M&#3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karalarli/Desktop/Documents%20and%20Settings/bkaralarli/Desktop/Bahadir/Procurement%20Plan/Banka%20Onayl&#305;%2012.09.2010%20ver1.1/TKMP%2022-a%20UYGULAMALARI%20&#304;HALE%20TAKV&#304;M&#304;(YEN&#304;%20PLANLANAN%20GRUPLAR)22.12.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L"/>
    </sheetNames>
    <sheetDataSet>
      <sheetData sheetId="0">
        <row r="13">
          <cell r="U13">
            <v>12184910.99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Sayfa2"/>
      <sheetName val="Sayfa3"/>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95"/>
  <sheetViews>
    <sheetView showRuler="0" zoomScaleNormal="100" workbookViewId="0">
      <selection activeCell="B4" sqref="B4:J4"/>
    </sheetView>
  </sheetViews>
  <sheetFormatPr defaultRowHeight="13.2" x14ac:dyDescent="0.25"/>
  <cols>
    <col min="1" max="1" width="4.33203125" customWidth="1"/>
    <col min="2" max="2" width="5.33203125" customWidth="1"/>
    <col min="3" max="3" width="5.44140625" customWidth="1"/>
    <col min="4" max="4" width="10.6640625" customWidth="1"/>
    <col min="5" max="5" width="1.5546875" customWidth="1"/>
    <col min="6" max="6" width="14.44140625" customWidth="1"/>
    <col min="7" max="7" width="17" customWidth="1"/>
    <col min="8" max="8" width="20.44140625" customWidth="1"/>
    <col min="9" max="9" width="39" customWidth="1"/>
    <col min="10" max="10" width="14.44140625" customWidth="1"/>
    <col min="11" max="11" width="13.6640625" customWidth="1"/>
  </cols>
  <sheetData>
    <row r="1" spans="2:16" ht="6" customHeight="1" x14ac:dyDescent="0.25"/>
    <row r="2" spans="2:16" x14ac:dyDescent="0.25">
      <c r="B2" s="93"/>
      <c r="C2" s="92"/>
      <c r="D2" s="92"/>
      <c r="E2" s="92"/>
      <c r="F2" s="92"/>
      <c r="G2" s="92"/>
      <c r="H2" s="92"/>
      <c r="I2" s="92"/>
      <c r="J2" s="92"/>
      <c r="K2" s="91"/>
    </row>
    <row r="3" spans="2:16" ht="17.399999999999999" x14ac:dyDescent="0.3">
      <c r="B3" s="166"/>
      <c r="C3" s="125"/>
      <c r="D3" s="125"/>
      <c r="E3" s="125"/>
      <c r="F3" s="125"/>
      <c r="G3" s="167"/>
      <c r="H3" s="168"/>
      <c r="I3" s="168"/>
      <c r="J3" s="161"/>
      <c r="K3" s="307"/>
      <c r="L3" s="161"/>
      <c r="M3" s="161"/>
      <c r="N3" s="161"/>
      <c r="O3" s="161"/>
      <c r="P3" s="161"/>
    </row>
    <row r="4" spans="2:16" ht="17.399999999999999" x14ac:dyDescent="0.3">
      <c r="B4" s="555" t="s">
        <v>225</v>
      </c>
      <c r="C4" s="556"/>
      <c r="D4" s="556"/>
      <c r="E4" s="556"/>
      <c r="F4" s="556"/>
      <c r="G4" s="556"/>
      <c r="H4" s="556"/>
      <c r="I4" s="556"/>
      <c r="J4" s="556"/>
      <c r="K4" s="90"/>
      <c r="L4" s="89"/>
      <c r="M4" s="89"/>
      <c r="N4" s="89"/>
      <c r="O4" s="89"/>
      <c r="P4" s="89"/>
    </row>
    <row r="5" spans="2:16" ht="17.399999999999999" x14ac:dyDescent="0.3">
      <c r="B5" s="555" t="s">
        <v>226</v>
      </c>
      <c r="C5" s="556"/>
      <c r="D5" s="556"/>
      <c r="E5" s="556"/>
      <c r="F5" s="556"/>
      <c r="G5" s="556"/>
      <c r="H5" s="556"/>
      <c r="I5" s="556"/>
      <c r="J5" s="556"/>
      <c r="K5" s="90"/>
      <c r="L5" s="89"/>
      <c r="M5" s="89"/>
      <c r="N5" s="89"/>
      <c r="O5" s="89"/>
      <c r="P5" s="89"/>
    </row>
    <row r="6" spans="2:16" x14ac:dyDescent="0.25">
      <c r="B6" s="80"/>
      <c r="C6" s="79"/>
      <c r="D6" s="79"/>
      <c r="E6" s="79"/>
      <c r="F6" s="79"/>
      <c r="G6" s="79"/>
      <c r="H6" s="79"/>
      <c r="I6" s="79"/>
      <c r="J6" s="79"/>
      <c r="K6" s="78"/>
    </row>
    <row r="7" spans="2:16" ht="15.6" x14ac:dyDescent="0.3">
      <c r="B7" s="557" t="s">
        <v>546</v>
      </c>
      <c r="C7" s="558"/>
      <c r="D7" s="558"/>
      <c r="E7" s="558"/>
      <c r="F7" s="558"/>
      <c r="G7" s="558"/>
      <c r="H7" s="558"/>
      <c r="I7" s="558"/>
      <c r="J7" s="558"/>
      <c r="K7" s="88"/>
      <c r="L7" s="87"/>
      <c r="M7" s="87"/>
      <c r="N7" s="87"/>
      <c r="O7" s="87"/>
      <c r="P7" s="87"/>
    </row>
    <row r="8" spans="2:16" ht="15.6" x14ac:dyDescent="0.3">
      <c r="B8" s="557"/>
      <c r="C8" s="558"/>
      <c r="D8" s="558"/>
      <c r="E8" s="558"/>
      <c r="F8" s="558"/>
      <c r="G8" s="558"/>
      <c r="H8" s="558"/>
      <c r="I8" s="558"/>
      <c r="J8" s="558"/>
      <c r="K8" s="88"/>
      <c r="L8" s="87"/>
      <c r="M8" s="87"/>
      <c r="N8" s="87"/>
      <c r="O8" s="87"/>
      <c r="P8" s="87"/>
    </row>
    <row r="9" spans="2:16" ht="15" x14ac:dyDescent="0.25">
      <c r="B9" s="85"/>
      <c r="C9" s="81"/>
      <c r="D9" s="81"/>
      <c r="E9" s="81"/>
      <c r="F9" s="81"/>
      <c r="G9" s="81"/>
      <c r="H9" s="81"/>
      <c r="I9" s="81"/>
      <c r="J9" s="81"/>
      <c r="K9" s="84"/>
      <c r="L9" s="83"/>
      <c r="M9" s="83"/>
      <c r="N9" s="83"/>
      <c r="O9" s="83"/>
      <c r="P9" s="83"/>
    </row>
    <row r="10" spans="2:16" ht="15.6" x14ac:dyDescent="0.3">
      <c r="B10" s="85"/>
      <c r="D10" s="82" t="s">
        <v>224</v>
      </c>
      <c r="E10" s="81"/>
      <c r="F10" s="81"/>
      <c r="G10" s="81"/>
      <c r="H10" s="81"/>
      <c r="I10" s="81"/>
      <c r="J10" s="81"/>
      <c r="K10" s="84"/>
      <c r="L10" s="83"/>
      <c r="M10" s="83"/>
      <c r="N10" s="83"/>
      <c r="O10" s="83"/>
      <c r="P10" s="83"/>
    </row>
    <row r="11" spans="2:16" ht="15" x14ac:dyDescent="0.25">
      <c r="B11" s="85"/>
      <c r="D11" s="81"/>
      <c r="E11" s="81"/>
      <c r="F11" s="81"/>
      <c r="G11" s="81"/>
      <c r="H11" s="81"/>
      <c r="I11" s="81"/>
      <c r="J11" s="81"/>
      <c r="K11" s="84"/>
      <c r="L11" s="83"/>
      <c r="M11" s="83"/>
      <c r="N11" s="83"/>
      <c r="O11" s="83"/>
      <c r="P11" s="83"/>
    </row>
    <row r="12" spans="2:16" ht="15.6" x14ac:dyDescent="0.3">
      <c r="B12" s="85"/>
      <c r="D12" s="82" t="s">
        <v>223</v>
      </c>
      <c r="E12" s="81"/>
      <c r="F12" s="81"/>
      <c r="G12" s="81"/>
      <c r="H12" s="81"/>
      <c r="I12" s="81"/>
      <c r="J12" s="81"/>
      <c r="K12" s="84"/>
      <c r="L12" s="83"/>
      <c r="M12" s="83"/>
      <c r="N12" s="83"/>
      <c r="O12" s="83"/>
      <c r="P12" s="83"/>
    </row>
    <row r="13" spans="2:16" ht="15" x14ac:dyDescent="0.25">
      <c r="B13" s="85"/>
      <c r="D13" s="81"/>
      <c r="E13" s="81"/>
      <c r="F13" s="81"/>
      <c r="G13" s="81"/>
      <c r="H13" s="81"/>
      <c r="I13" s="81"/>
      <c r="J13" s="81"/>
      <c r="K13" s="84"/>
      <c r="L13" s="83"/>
      <c r="M13" s="83"/>
      <c r="N13" s="83"/>
      <c r="O13" s="83"/>
      <c r="P13" s="83"/>
    </row>
    <row r="14" spans="2:16" ht="15.6" x14ac:dyDescent="0.3">
      <c r="B14" s="85"/>
      <c r="D14" s="81"/>
      <c r="E14" s="82" t="s">
        <v>222</v>
      </c>
      <c r="F14" s="81"/>
      <c r="G14" s="81"/>
      <c r="H14" s="105" t="s">
        <v>215</v>
      </c>
      <c r="I14" s="81" t="s">
        <v>221</v>
      </c>
      <c r="J14" s="81"/>
      <c r="K14" s="84"/>
      <c r="L14" s="83"/>
      <c r="M14" s="83"/>
      <c r="N14" s="83"/>
      <c r="O14" s="83"/>
      <c r="P14" s="83"/>
    </row>
    <row r="15" spans="2:16" ht="15.6" x14ac:dyDescent="0.3">
      <c r="B15" s="85"/>
      <c r="D15" s="81"/>
      <c r="E15" s="82" t="s">
        <v>220</v>
      </c>
      <c r="F15" s="81"/>
      <c r="G15" s="81"/>
      <c r="H15" s="105" t="s">
        <v>215</v>
      </c>
      <c r="I15" s="81" t="s">
        <v>219</v>
      </c>
      <c r="J15" s="81"/>
      <c r="K15" s="84"/>
      <c r="L15" s="83"/>
      <c r="M15" s="83"/>
      <c r="N15" s="83"/>
      <c r="O15" s="83"/>
      <c r="P15" s="83"/>
    </row>
    <row r="16" spans="2:16" ht="15.6" x14ac:dyDescent="0.3">
      <c r="B16" s="85"/>
      <c r="D16" s="81"/>
      <c r="E16" s="82" t="s">
        <v>218</v>
      </c>
      <c r="F16" s="81"/>
      <c r="G16" s="81"/>
      <c r="H16" s="105" t="s">
        <v>215</v>
      </c>
      <c r="I16" s="81" t="s">
        <v>236</v>
      </c>
      <c r="J16" s="81"/>
      <c r="K16" s="84"/>
      <c r="L16" s="83"/>
      <c r="M16" s="83"/>
      <c r="N16" s="83"/>
      <c r="O16" s="83"/>
      <c r="P16" s="83"/>
    </row>
    <row r="17" spans="2:16" ht="15.6" x14ac:dyDescent="0.3">
      <c r="B17" s="85"/>
      <c r="D17" s="81"/>
      <c r="E17" s="82" t="s">
        <v>217</v>
      </c>
      <c r="F17" s="81"/>
      <c r="G17" s="81"/>
      <c r="H17" s="105" t="s">
        <v>215</v>
      </c>
      <c r="I17" s="81" t="s">
        <v>227</v>
      </c>
      <c r="J17" s="81"/>
      <c r="K17" s="84"/>
      <c r="L17" s="83"/>
      <c r="M17" s="83"/>
      <c r="N17" s="83"/>
      <c r="O17" s="83"/>
      <c r="P17" s="83"/>
    </row>
    <row r="18" spans="2:16" ht="15.6" x14ac:dyDescent="0.3">
      <c r="B18" s="85"/>
      <c r="D18" s="81"/>
      <c r="E18" s="82" t="s">
        <v>216</v>
      </c>
      <c r="F18" s="81"/>
      <c r="G18" s="81"/>
      <c r="H18" s="105" t="s">
        <v>215</v>
      </c>
      <c r="I18" s="81" t="s">
        <v>228</v>
      </c>
      <c r="J18" s="81"/>
      <c r="K18" s="84"/>
      <c r="L18" s="83"/>
      <c r="M18" s="83"/>
      <c r="N18" s="83"/>
      <c r="O18" s="83"/>
      <c r="P18" s="83"/>
    </row>
    <row r="19" spans="2:16" ht="15" x14ac:dyDescent="0.25">
      <c r="B19" s="85"/>
      <c r="D19" s="81"/>
      <c r="E19" s="81"/>
      <c r="F19" s="81"/>
      <c r="G19" s="81"/>
      <c r="H19" s="81"/>
      <c r="I19" s="81"/>
      <c r="J19" s="81"/>
      <c r="K19" s="84"/>
      <c r="L19" s="83"/>
      <c r="M19" s="83"/>
      <c r="N19" s="83"/>
      <c r="O19" s="83"/>
      <c r="P19" s="83"/>
    </row>
    <row r="20" spans="2:16" ht="15.6" x14ac:dyDescent="0.3">
      <c r="B20" s="85"/>
      <c r="D20" s="82" t="s">
        <v>214</v>
      </c>
      <c r="E20" s="81"/>
      <c r="F20" s="81"/>
      <c r="G20" s="81"/>
      <c r="H20" s="81"/>
      <c r="I20" s="122" t="s">
        <v>273</v>
      </c>
      <c r="J20" s="123"/>
      <c r="K20" s="84"/>
      <c r="L20" s="83"/>
      <c r="M20" s="83"/>
      <c r="N20" s="83"/>
      <c r="O20" s="83"/>
      <c r="P20" s="83"/>
    </row>
    <row r="21" spans="2:16" ht="15" x14ac:dyDescent="0.25">
      <c r="B21" s="85"/>
      <c r="D21" s="81"/>
      <c r="E21" s="81"/>
      <c r="F21" s="81"/>
      <c r="G21" s="81"/>
      <c r="H21" s="81"/>
      <c r="I21" s="81" t="s">
        <v>307</v>
      </c>
      <c r="J21" s="81"/>
      <c r="K21" s="84"/>
      <c r="L21" s="83"/>
      <c r="M21" s="83"/>
      <c r="N21" s="83"/>
      <c r="O21" s="83"/>
      <c r="P21" s="83"/>
    </row>
    <row r="22" spans="2:16" ht="15" x14ac:dyDescent="0.25">
      <c r="B22" s="85"/>
      <c r="D22" s="81"/>
      <c r="E22" s="81"/>
      <c r="F22" s="81"/>
      <c r="G22" s="81"/>
      <c r="H22" s="81"/>
      <c r="I22" s="81" t="s">
        <v>587</v>
      </c>
      <c r="J22" s="81"/>
      <c r="K22" s="84"/>
      <c r="L22" s="83"/>
      <c r="M22" s="83"/>
      <c r="N22" s="83"/>
      <c r="O22" s="83"/>
      <c r="P22" s="83"/>
    </row>
    <row r="23" spans="2:16" ht="15.6" x14ac:dyDescent="0.3">
      <c r="B23" s="85"/>
      <c r="D23" s="82" t="s">
        <v>213</v>
      </c>
      <c r="E23" s="81"/>
      <c r="F23" s="81"/>
      <c r="G23" s="81"/>
      <c r="H23" s="81"/>
      <c r="I23" s="119">
        <v>39743</v>
      </c>
      <c r="J23" s="119"/>
      <c r="K23" s="84"/>
      <c r="L23" s="83"/>
      <c r="M23" s="83"/>
      <c r="N23" s="83"/>
      <c r="O23" s="83"/>
      <c r="P23" s="83"/>
    </row>
    <row r="24" spans="2:16" ht="15" x14ac:dyDescent="0.25">
      <c r="B24" s="85"/>
      <c r="D24" s="81"/>
      <c r="E24" s="81"/>
      <c r="F24" s="81"/>
      <c r="G24" s="81"/>
      <c r="H24" s="81"/>
      <c r="I24" s="81"/>
      <c r="J24" s="81"/>
      <c r="K24" s="84"/>
      <c r="L24" s="83"/>
      <c r="M24" s="83"/>
      <c r="N24" s="83"/>
      <c r="O24" s="83"/>
      <c r="P24" s="83"/>
    </row>
    <row r="25" spans="2:16" ht="15.6" x14ac:dyDescent="0.3">
      <c r="B25" s="85"/>
      <c r="D25" s="82" t="s">
        <v>212</v>
      </c>
      <c r="E25" s="81"/>
      <c r="F25" s="81"/>
      <c r="G25" s="81"/>
      <c r="H25" s="81"/>
      <c r="I25" s="378" t="s">
        <v>462</v>
      </c>
      <c r="J25" s="79"/>
      <c r="K25" s="84"/>
      <c r="L25" s="83"/>
      <c r="M25" s="83"/>
      <c r="N25" s="83"/>
      <c r="O25" s="83"/>
      <c r="P25" s="83"/>
    </row>
    <row r="26" spans="2:16" ht="15.6" x14ac:dyDescent="0.3">
      <c r="B26" s="85"/>
      <c r="D26" s="82"/>
      <c r="E26" s="81"/>
      <c r="F26" s="81"/>
      <c r="G26" s="81"/>
      <c r="H26" s="81"/>
      <c r="I26" s="81"/>
      <c r="J26" s="79"/>
      <c r="K26" s="84"/>
      <c r="L26" s="83"/>
      <c r="M26" s="83"/>
      <c r="N26" s="83"/>
      <c r="O26" s="83"/>
      <c r="P26" s="83"/>
    </row>
    <row r="27" spans="2:16" ht="15.6" x14ac:dyDescent="0.3">
      <c r="B27" s="85"/>
      <c r="D27" s="82" t="s">
        <v>308</v>
      </c>
      <c r="E27" s="81"/>
      <c r="F27" s="81"/>
      <c r="G27" s="81"/>
      <c r="H27" s="81"/>
      <c r="I27" s="81" t="s">
        <v>463</v>
      </c>
      <c r="J27" s="79"/>
      <c r="K27" s="84"/>
      <c r="L27" s="83"/>
      <c r="M27" s="83"/>
      <c r="N27" s="83"/>
      <c r="O27" s="83"/>
      <c r="P27" s="83"/>
    </row>
    <row r="28" spans="2:16" ht="15" x14ac:dyDescent="0.25">
      <c r="B28" s="85"/>
      <c r="D28" s="81"/>
      <c r="E28" s="81"/>
      <c r="F28" s="81"/>
      <c r="G28" s="81"/>
      <c r="H28" s="81"/>
      <c r="I28" s="81"/>
      <c r="J28" s="81"/>
      <c r="K28" s="84"/>
      <c r="L28" s="83"/>
      <c r="M28" s="83"/>
      <c r="N28" s="83"/>
      <c r="O28" s="83"/>
      <c r="P28" s="83"/>
    </row>
    <row r="29" spans="2:16" ht="15.6" x14ac:dyDescent="0.3">
      <c r="B29" s="85"/>
      <c r="D29" s="82" t="s">
        <v>211</v>
      </c>
      <c r="E29" s="81"/>
      <c r="F29" s="81"/>
      <c r="G29" s="81"/>
      <c r="H29" s="81"/>
      <c r="I29" s="81"/>
      <c r="J29" s="81"/>
      <c r="K29" s="84"/>
      <c r="L29" s="83"/>
      <c r="M29" s="83"/>
      <c r="N29" s="83"/>
      <c r="O29" s="83"/>
      <c r="P29" s="83"/>
    </row>
    <row r="30" spans="2:16" ht="15" x14ac:dyDescent="0.25">
      <c r="B30" s="85"/>
      <c r="D30" s="81"/>
      <c r="E30" s="81"/>
      <c r="F30" s="81"/>
      <c r="G30" s="81"/>
      <c r="H30" s="81"/>
      <c r="I30" s="81"/>
      <c r="J30" s="81"/>
      <c r="K30" s="84"/>
      <c r="L30" s="83"/>
      <c r="M30" s="83"/>
      <c r="N30" s="83"/>
      <c r="O30" s="83"/>
      <c r="P30" s="83"/>
    </row>
    <row r="31" spans="2:16" ht="15.6" x14ac:dyDescent="0.3">
      <c r="B31" s="85"/>
      <c r="D31" s="81" t="s">
        <v>237</v>
      </c>
      <c r="E31" s="81"/>
      <c r="F31" s="81"/>
      <c r="G31" s="81"/>
      <c r="H31" s="81"/>
      <c r="I31" s="81"/>
      <c r="J31" s="81"/>
      <c r="K31" s="84"/>
      <c r="L31" s="83"/>
      <c r="M31" s="83"/>
      <c r="N31" s="83"/>
      <c r="O31" s="83"/>
      <c r="P31" s="83"/>
    </row>
    <row r="32" spans="2:16" ht="15" x14ac:dyDescent="0.25">
      <c r="B32" s="85"/>
      <c r="D32" s="81" t="s">
        <v>210</v>
      </c>
      <c r="E32" s="81"/>
      <c r="F32" s="81"/>
      <c r="G32" s="81"/>
      <c r="H32" s="81"/>
      <c r="I32" s="81"/>
      <c r="J32" s="81"/>
      <c r="K32" s="84"/>
      <c r="L32" s="83"/>
      <c r="M32" s="83"/>
      <c r="N32" s="83"/>
      <c r="O32" s="83"/>
      <c r="P32" s="83"/>
    </row>
    <row r="33" spans="2:16" ht="15" x14ac:dyDescent="0.25">
      <c r="B33" s="85"/>
      <c r="D33" s="81"/>
      <c r="E33" s="81"/>
      <c r="F33" s="81"/>
      <c r="G33" s="81"/>
      <c r="H33" s="81"/>
      <c r="I33" s="81"/>
      <c r="J33" s="81"/>
      <c r="K33" s="84"/>
      <c r="L33" s="83"/>
      <c r="M33" s="83"/>
      <c r="N33" s="83"/>
      <c r="O33" s="83"/>
      <c r="P33" s="83"/>
    </row>
    <row r="34" spans="2:16" ht="15.75" customHeight="1" x14ac:dyDescent="0.25">
      <c r="B34" s="85"/>
      <c r="C34" s="79"/>
      <c r="D34" s="81"/>
      <c r="E34" s="81"/>
      <c r="F34" s="81"/>
      <c r="G34" s="81"/>
      <c r="H34" s="81"/>
      <c r="I34" s="81"/>
      <c r="J34" s="81"/>
      <c r="K34" s="84"/>
      <c r="L34" s="83"/>
      <c r="M34" s="83"/>
      <c r="N34" s="83"/>
      <c r="O34" s="83"/>
      <c r="P34" s="83"/>
    </row>
    <row r="35" spans="2:16" ht="60" customHeight="1" x14ac:dyDescent="0.25">
      <c r="B35" s="85"/>
      <c r="C35" s="81"/>
      <c r="D35" s="81"/>
      <c r="E35" s="81"/>
      <c r="F35" s="86" t="s">
        <v>25</v>
      </c>
      <c r="G35" s="562" t="s">
        <v>183</v>
      </c>
      <c r="H35" s="563"/>
      <c r="I35" s="86" t="s">
        <v>184</v>
      </c>
      <c r="J35" s="81"/>
      <c r="K35" s="84"/>
      <c r="L35" s="83"/>
      <c r="M35" s="83"/>
      <c r="N35" s="83"/>
      <c r="O35" s="83"/>
      <c r="P35" s="83"/>
    </row>
    <row r="36" spans="2:16" ht="51" customHeight="1" x14ac:dyDescent="0.25">
      <c r="B36" s="85"/>
      <c r="C36" s="81"/>
      <c r="D36" s="81"/>
      <c r="E36" s="81"/>
      <c r="F36" s="559" t="s">
        <v>209</v>
      </c>
      <c r="G36" s="551" t="s">
        <v>588</v>
      </c>
      <c r="H36" s="552"/>
      <c r="I36" s="379" t="s">
        <v>467</v>
      </c>
      <c r="J36" s="81"/>
      <c r="K36" s="84"/>
      <c r="L36" s="83"/>
      <c r="M36" s="83"/>
      <c r="N36" s="83"/>
      <c r="O36" s="83"/>
      <c r="P36" s="83"/>
    </row>
    <row r="37" spans="2:16" ht="51.75" customHeight="1" x14ac:dyDescent="0.25">
      <c r="B37" s="85"/>
      <c r="C37" s="81"/>
      <c r="D37" s="81"/>
      <c r="E37" s="81"/>
      <c r="F37" s="568"/>
      <c r="G37" s="551" t="s">
        <v>588</v>
      </c>
      <c r="H37" s="552"/>
      <c r="I37" s="379" t="s">
        <v>469</v>
      </c>
      <c r="J37" s="81"/>
      <c r="K37" s="84"/>
      <c r="L37" s="83"/>
      <c r="M37" s="83"/>
      <c r="N37" s="83"/>
      <c r="O37" s="83"/>
      <c r="P37" s="83"/>
    </row>
    <row r="38" spans="2:16" ht="85.5" customHeight="1" x14ac:dyDescent="0.25">
      <c r="B38" s="85"/>
      <c r="C38" s="81"/>
      <c r="D38" s="81"/>
      <c r="E38" s="81"/>
      <c r="F38" s="569"/>
      <c r="G38" s="551" t="s">
        <v>588</v>
      </c>
      <c r="H38" s="572"/>
      <c r="I38" s="379" t="s">
        <v>468</v>
      </c>
      <c r="J38" s="81"/>
      <c r="K38" s="84"/>
      <c r="L38" s="83"/>
      <c r="M38" s="83"/>
      <c r="N38" s="83"/>
      <c r="O38" s="83"/>
      <c r="P38" s="83"/>
    </row>
    <row r="39" spans="2:16" ht="57" customHeight="1" x14ac:dyDescent="0.25">
      <c r="B39" s="85"/>
      <c r="C39" s="81"/>
      <c r="D39" s="81"/>
      <c r="E39" s="81"/>
      <c r="F39" s="534" t="s">
        <v>208</v>
      </c>
      <c r="G39" s="542" t="s">
        <v>239</v>
      </c>
      <c r="H39" s="543"/>
      <c r="I39" s="127" t="s">
        <v>470</v>
      </c>
      <c r="J39" s="81"/>
      <c r="K39" s="84"/>
      <c r="L39" s="83"/>
      <c r="M39" s="83"/>
      <c r="N39" s="83"/>
      <c r="O39" s="83"/>
      <c r="P39" s="83"/>
    </row>
    <row r="40" spans="2:16" ht="77.25" customHeight="1" x14ac:dyDescent="0.25">
      <c r="B40" s="85"/>
      <c r="C40" s="81"/>
      <c r="D40" s="81"/>
      <c r="E40" s="81"/>
      <c r="F40" s="564"/>
      <c r="G40" s="542" t="s">
        <v>277</v>
      </c>
      <c r="H40" s="571"/>
      <c r="I40" s="127" t="s">
        <v>465</v>
      </c>
      <c r="J40" s="81"/>
      <c r="K40" s="84"/>
      <c r="L40" s="83"/>
      <c r="M40" s="83"/>
      <c r="N40" s="83"/>
      <c r="O40" s="83"/>
      <c r="P40" s="83"/>
    </row>
    <row r="41" spans="2:16" ht="79.5" customHeight="1" x14ac:dyDescent="0.25">
      <c r="B41" s="85"/>
      <c r="C41" s="81"/>
      <c r="D41" s="81"/>
      <c r="E41" s="81"/>
      <c r="F41" s="565"/>
      <c r="G41" s="566" t="s">
        <v>464</v>
      </c>
      <c r="H41" s="567"/>
      <c r="I41" s="127" t="s">
        <v>466</v>
      </c>
      <c r="J41" s="81"/>
      <c r="K41" s="84"/>
      <c r="L41" s="83"/>
      <c r="M41" s="83"/>
      <c r="N41" s="83"/>
      <c r="O41" s="83"/>
      <c r="P41" s="83"/>
    </row>
    <row r="42" spans="2:16" ht="31.5" customHeight="1" x14ac:dyDescent="0.25">
      <c r="B42" s="85"/>
      <c r="C42" s="81"/>
      <c r="D42" s="81"/>
      <c r="E42" s="81"/>
      <c r="F42" s="559" t="s">
        <v>8</v>
      </c>
      <c r="G42" s="540" t="s">
        <v>207</v>
      </c>
      <c r="H42" s="570"/>
      <c r="I42" s="559" t="s">
        <v>185</v>
      </c>
      <c r="J42" s="81"/>
      <c r="K42" s="84"/>
      <c r="L42" s="83"/>
      <c r="M42" s="83"/>
      <c r="N42" s="83"/>
      <c r="O42" s="83"/>
      <c r="P42" s="83"/>
    </row>
    <row r="43" spans="2:16" ht="36.75" customHeight="1" x14ac:dyDescent="0.25">
      <c r="B43" s="85"/>
      <c r="C43" s="81"/>
      <c r="D43" s="81"/>
      <c r="E43" s="81"/>
      <c r="F43" s="560"/>
      <c r="G43" s="540" t="s">
        <v>229</v>
      </c>
      <c r="H43" s="570"/>
      <c r="I43" s="560"/>
      <c r="J43" s="81"/>
      <c r="K43" s="84"/>
      <c r="L43" s="83"/>
      <c r="M43" s="83"/>
      <c r="N43" s="83"/>
      <c r="O43" s="83"/>
      <c r="P43" s="83"/>
    </row>
    <row r="44" spans="2:16" ht="46.2" customHeight="1" x14ac:dyDescent="0.25">
      <c r="B44" s="85"/>
      <c r="C44" s="81"/>
      <c r="D44" s="81"/>
      <c r="E44" s="81"/>
      <c r="F44" s="561"/>
      <c r="G44" s="540" t="s">
        <v>206</v>
      </c>
      <c r="H44" s="570"/>
      <c r="I44" s="561"/>
      <c r="J44" s="81"/>
      <c r="K44" s="84"/>
      <c r="L44" s="83"/>
      <c r="M44" s="83"/>
      <c r="N44" s="83"/>
      <c r="O44" s="83"/>
      <c r="P44" s="83"/>
    </row>
    <row r="45" spans="2:16" ht="31.2" x14ac:dyDescent="0.25">
      <c r="B45" s="85"/>
      <c r="C45" s="81"/>
      <c r="D45" s="81"/>
      <c r="E45" s="81"/>
      <c r="F45" s="127" t="s">
        <v>186</v>
      </c>
      <c r="G45" s="542" t="s">
        <v>471</v>
      </c>
      <c r="H45" s="543"/>
      <c r="I45" s="127" t="s">
        <v>194</v>
      </c>
      <c r="J45" s="81"/>
      <c r="K45" s="84"/>
      <c r="L45" s="83"/>
      <c r="M45" s="83"/>
      <c r="N45" s="83"/>
      <c r="O45" s="83"/>
      <c r="P45" s="83"/>
    </row>
    <row r="46" spans="2:16" ht="15" x14ac:dyDescent="0.25">
      <c r="B46" s="85"/>
      <c r="C46" s="81"/>
      <c r="D46" s="81"/>
      <c r="E46" s="81"/>
      <c r="F46" s="81"/>
      <c r="G46" s="81"/>
      <c r="H46" s="81"/>
      <c r="I46" s="81"/>
      <c r="J46" s="81"/>
      <c r="K46" s="84"/>
      <c r="L46" s="83"/>
      <c r="M46" s="83"/>
      <c r="N46" s="83"/>
      <c r="O46" s="83"/>
      <c r="P46" s="83"/>
    </row>
    <row r="47" spans="2:16" ht="15" x14ac:dyDescent="0.25">
      <c r="B47" s="85"/>
      <c r="C47" s="81"/>
      <c r="D47" s="81"/>
      <c r="E47" s="81"/>
      <c r="F47" s="81"/>
      <c r="G47" s="81"/>
      <c r="H47" s="81"/>
      <c r="I47" s="81"/>
      <c r="J47" s="81"/>
      <c r="K47" s="84"/>
      <c r="L47" s="83"/>
      <c r="M47" s="83"/>
      <c r="N47" s="83"/>
      <c r="O47" s="83"/>
      <c r="P47" s="83"/>
    </row>
    <row r="48" spans="2:16" ht="15" x14ac:dyDescent="0.25">
      <c r="B48" s="85"/>
      <c r="C48" s="81"/>
      <c r="D48" s="81"/>
      <c r="E48" s="81"/>
      <c r="F48" s="81"/>
      <c r="G48" s="81"/>
      <c r="H48" s="81"/>
      <c r="I48" s="81"/>
      <c r="J48" s="81"/>
      <c r="K48" s="84"/>
      <c r="L48" s="83"/>
      <c r="M48" s="83"/>
      <c r="N48" s="83"/>
      <c r="O48" s="83"/>
      <c r="P48" s="83"/>
    </row>
    <row r="49" spans="2:16" ht="15.6" x14ac:dyDescent="0.3">
      <c r="B49" s="85"/>
      <c r="D49" s="82" t="s">
        <v>205</v>
      </c>
      <c r="E49" s="81"/>
      <c r="F49" s="81"/>
      <c r="G49" s="81"/>
      <c r="H49" s="81"/>
      <c r="I49" s="81"/>
      <c r="J49" s="81"/>
      <c r="K49" s="84"/>
      <c r="L49" s="83"/>
      <c r="M49" s="83"/>
      <c r="N49" s="83"/>
      <c r="O49" s="83"/>
      <c r="P49" s="83"/>
    </row>
    <row r="50" spans="2:16" ht="15" x14ac:dyDescent="0.25">
      <c r="B50" s="85"/>
      <c r="D50" s="81"/>
      <c r="E50" s="81"/>
      <c r="F50" s="81"/>
      <c r="G50" s="81"/>
      <c r="H50" s="81"/>
      <c r="I50" s="81"/>
      <c r="J50" s="81"/>
      <c r="K50" s="84"/>
      <c r="L50" s="83"/>
      <c r="M50" s="83"/>
      <c r="N50" s="83"/>
      <c r="O50" s="83"/>
      <c r="P50" s="83"/>
    </row>
    <row r="51" spans="2:16" ht="15.6" x14ac:dyDescent="0.3">
      <c r="B51" s="85"/>
      <c r="D51" s="81" t="s">
        <v>204</v>
      </c>
      <c r="E51" s="81"/>
      <c r="F51" s="81"/>
      <c r="G51" s="81"/>
      <c r="H51" s="81"/>
      <c r="I51" s="81"/>
      <c r="J51" s="81"/>
      <c r="K51" s="84"/>
      <c r="L51" s="83"/>
      <c r="M51" s="83"/>
      <c r="N51" s="83"/>
      <c r="O51" s="83"/>
      <c r="P51" s="83"/>
    </row>
    <row r="52" spans="2:16" ht="15" x14ac:dyDescent="0.25">
      <c r="B52" s="85"/>
      <c r="D52" s="81" t="s">
        <v>203</v>
      </c>
      <c r="E52" s="81"/>
      <c r="F52" s="81"/>
      <c r="G52" s="81"/>
      <c r="H52" s="81"/>
      <c r="I52" s="81"/>
      <c r="J52" s="81"/>
      <c r="K52" s="84"/>
      <c r="L52" s="83"/>
      <c r="M52" s="83"/>
      <c r="N52" s="83"/>
      <c r="O52" s="83"/>
      <c r="P52" s="83"/>
    </row>
    <row r="53" spans="2:16" ht="15" x14ac:dyDescent="0.25">
      <c r="B53" s="85"/>
      <c r="C53" s="81"/>
      <c r="D53" s="81"/>
      <c r="E53" s="81"/>
      <c r="F53" s="81"/>
      <c r="G53" s="81"/>
      <c r="H53" s="81"/>
      <c r="I53" s="81"/>
      <c r="J53" s="81"/>
      <c r="K53" s="84"/>
      <c r="L53" s="83"/>
      <c r="M53" s="83"/>
      <c r="N53" s="83"/>
      <c r="O53" s="83"/>
      <c r="P53" s="83"/>
    </row>
    <row r="54" spans="2:16" ht="31.2" x14ac:dyDescent="0.25">
      <c r="B54" s="85"/>
      <c r="C54" s="81"/>
      <c r="D54" s="81"/>
      <c r="E54" s="81"/>
      <c r="F54" s="86" t="s">
        <v>202</v>
      </c>
      <c r="G54" s="562" t="s">
        <v>201</v>
      </c>
      <c r="H54" s="563"/>
      <c r="I54" s="562" t="s">
        <v>184</v>
      </c>
      <c r="J54" s="563"/>
      <c r="K54" s="84"/>
      <c r="L54" s="83"/>
      <c r="M54" s="83"/>
      <c r="N54" s="83"/>
      <c r="O54" s="83"/>
      <c r="P54" s="83"/>
    </row>
    <row r="55" spans="2:16" ht="62.4" x14ac:dyDescent="0.25">
      <c r="B55" s="85"/>
      <c r="C55" s="81"/>
      <c r="D55" s="104"/>
      <c r="E55" s="104"/>
      <c r="F55" s="128" t="s">
        <v>200</v>
      </c>
      <c r="G55" s="551" t="s">
        <v>590</v>
      </c>
      <c r="H55" s="552"/>
      <c r="I55" s="128" t="s">
        <v>274</v>
      </c>
      <c r="J55" s="547" t="s">
        <v>473</v>
      </c>
      <c r="K55" s="84"/>
      <c r="L55" s="83"/>
      <c r="M55" s="83"/>
      <c r="N55" s="83"/>
      <c r="O55" s="83"/>
      <c r="P55" s="83"/>
    </row>
    <row r="56" spans="2:16" ht="46.8" x14ac:dyDescent="0.25">
      <c r="B56" s="85"/>
      <c r="C56" s="81"/>
      <c r="D56" s="81"/>
      <c r="E56" s="81"/>
      <c r="F56" s="128" t="s">
        <v>199</v>
      </c>
      <c r="G56" s="540" t="s">
        <v>591</v>
      </c>
      <c r="H56" s="550"/>
      <c r="I56" s="128" t="s">
        <v>274</v>
      </c>
      <c r="J56" s="548"/>
      <c r="K56" s="84"/>
      <c r="L56" s="83"/>
      <c r="M56" s="83"/>
      <c r="N56" s="83"/>
      <c r="O56" s="83"/>
      <c r="P56" s="83"/>
    </row>
    <row r="57" spans="2:16" ht="46.8" x14ac:dyDescent="0.25">
      <c r="B57" s="85"/>
      <c r="C57" s="81"/>
      <c r="D57" s="81"/>
      <c r="E57" s="81"/>
      <c r="F57" s="128" t="s">
        <v>198</v>
      </c>
      <c r="G57" s="540" t="s">
        <v>591</v>
      </c>
      <c r="H57" s="541"/>
      <c r="I57" s="128" t="s">
        <v>274</v>
      </c>
      <c r="J57" s="548"/>
      <c r="K57" s="84"/>
      <c r="L57" s="83"/>
      <c r="M57" s="83"/>
      <c r="N57" s="83"/>
      <c r="O57" s="83"/>
      <c r="P57" s="83"/>
    </row>
    <row r="58" spans="2:16" ht="78" x14ac:dyDescent="0.25">
      <c r="B58" s="85"/>
      <c r="C58" s="81"/>
      <c r="D58" s="81"/>
      <c r="E58" s="81"/>
      <c r="F58" s="128" t="s">
        <v>197</v>
      </c>
      <c r="G58" s="540" t="s">
        <v>196</v>
      </c>
      <c r="H58" s="550"/>
      <c r="I58" s="128"/>
      <c r="J58" s="549"/>
      <c r="K58" s="84"/>
      <c r="L58" s="83"/>
      <c r="M58" s="83"/>
      <c r="N58" s="83"/>
      <c r="O58" s="83"/>
      <c r="P58" s="83"/>
    </row>
    <row r="59" spans="2:16" ht="46.8" x14ac:dyDescent="0.25">
      <c r="B59" s="85"/>
      <c r="C59" s="81"/>
      <c r="D59" s="81"/>
      <c r="E59" s="81"/>
      <c r="F59" s="128" t="s">
        <v>195</v>
      </c>
      <c r="G59" s="540" t="s">
        <v>591</v>
      </c>
      <c r="H59" s="541"/>
      <c r="I59" s="540" t="s">
        <v>194</v>
      </c>
      <c r="J59" s="546"/>
      <c r="K59" s="84"/>
      <c r="L59" s="83"/>
      <c r="M59" s="83"/>
      <c r="N59" s="83"/>
      <c r="O59" s="83"/>
      <c r="P59" s="83"/>
    </row>
    <row r="60" spans="2:16" ht="15.6" x14ac:dyDescent="0.25">
      <c r="B60" s="85"/>
      <c r="C60" s="81"/>
      <c r="D60" s="81"/>
      <c r="E60" s="81"/>
      <c r="F60" s="534" t="s">
        <v>193</v>
      </c>
      <c r="G60" s="536" t="s">
        <v>591</v>
      </c>
      <c r="H60" s="537"/>
      <c r="I60" s="553" t="s">
        <v>275</v>
      </c>
      <c r="J60" s="554"/>
      <c r="K60" s="84"/>
      <c r="L60" s="83"/>
      <c r="M60" s="83"/>
      <c r="N60" s="83"/>
      <c r="O60" s="83"/>
      <c r="P60" s="83"/>
    </row>
    <row r="61" spans="2:16" ht="83.25" customHeight="1" x14ac:dyDescent="0.25">
      <c r="B61" s="85"/>
      <c r="C61" s="81"/>
      <c r="D61" s="81"/>
      <c r="E61" s="81"/>
      <c r="F61" s="535"/>
      <c r="G61" s="538"/>
      <c r="H61" s="539"/>
      <c r="I61" s="544" t="s">
        <v>192</v>
      </c>
      <c r="J61" s="545"/>
      <c r="K61" s="84"/>
      <c r="L61" s="83"/>
      <c r="M61" s="83"/>
      <c r="N61" s="83"/>
      <c r="O61" s="83"/>
      <c r="P61" s="83"/>
    </row>
    <row r="62" spans="2:16" ht="15" x14ac:dyDescent="0.25">
      <c r="B62" s="85"/>
      <c r="C62" s="81"/>
      <c r="D62" s="81"/>
      <c r="E62" s="81"/>
      <c r="F62" s="81"/>
      <c r="G62" s="81"/>
      <c r="H62" s="81"/>
      <c r="I62" s="81"/>
      <c r="J62" s="81"/>
      <c r="K62" s="84"/>
      <c r="L62" s="83"/>
    </row>
    <row r="63" spans="2:16" ht="15" x14ac:dyDescent="0.25">
      <c r="B63" s="85"/>
      <c r="C63" s="81"/>
      <c r="D63" s="81"/>
      <c r="E63" s="81"/>
      <c r="F63" s="81" t="s">
        <v>482</v>
      </c>
      <c r="G63" s="81"/>
      <c r="H63" s="81"/>
      <c r="I63" s="81"/>
      <c r="J63" s="81"/>
      <c r="K63" s="84"/>
      <c r="L63" s="83"/>
      <c r="M63" s="83"/>
      <c r="N63" s="83"/>
      <c r="O63" s="83"/>
      <c r="P63" s="83"/>
    </row>
    <row r="64" spans="2:16" ht="15" x14ac:dyDescent="0.25">
      <c r="B64" s="85"/>
      <c r="C64" s="81"/>
      <c r="D64" s="81"/>
      <c r="E64" s="81"/>
      <c r="F64" s="81" t="s">
        <v>238</v>
      </c>
      <c r="G64" s="81"/>
      <c r="H64" s="81"/>
      <c r="I64" s="81"/>
      <c r="J64" s="81"/>
      <c r="K64" s="84"/>
      <c r="L64" s="83"/>
      <c r="M64" s="83"/>
      <c r="N64" s="83"/>
      <c r="O64" s="83"/>
      <c r="P64" s="83"/>
    </row>
    <row r="65" spans="2:16" ht="15" x14ac:dyDescent="0.25">
      <c r="B65" s="85"/>
      <c r="C65" s="81"/>
      <c r="D65" s="81"/>
      <c r="E65" s="81"/>
      <c r="F65" s="81"/>
      <c r="G65" s="81"/>
      <c r="H65" s="81"/>
      <c r="I65" s="81"/>
      <c r="J65" s="81"/>
      <c r="K65" s="84"/>
      <c r="L65" s="83"/>
      <c r="M65" s="83"/>
      <c r="N65" s="83"/>
      <c r="O65" s="83"/>
      <c r="P65" s="83"/>
    </row>
    <row r="66" spans="2:16" ht="15.6" x14ac:dyDescent="0.3">
      <c r="B66" s="85"/>
      <c r="D66" s="82" t="s">
        <v>191</v>
      </c>
      <c r="E66" s="81"/>
      <c r="F66" s="81"/>
      <c r="G66" s="81"/>
      <c r="H66" s="81"/>
      <c r="I66" s="79"/>
      <c r="J66" s="81"/>
      <c r="K66" s="84"/>
      <c r="L66" s="83"/>
      <c r="M66" s="83"/>
      <c r="N66" s="83"/>
      <c r="O66" s="83"/>
      <c r="P66" s="83"/>
    </row>
    <row r="67" spans="2:16" ht="15" x14ac:dyDescent="0.25">
      <c r="B67" s="85"/>
      <c r="D67" s="81" t="s">
        <v>472</v>
      </c>
      <c r="E67" s="81"/>
      <c r="F67" s="81"/>
      <c r="G67" s="81"/>
      <c r="H67" s="81"/>
      <c r="I67" s="81"/>
      <c r="J67" s="81"/>
      <c r="K67" s="84"/>
      <c r="L67" s="83"/>
      <c r="M67" s="83"/>
      <c r="N67" s="83"/>
      <c r="O67" s="83"/>
      <c r="P67" s="83"/>
    </row>
    <row r="68" spans="2:16" ht="15" x14ac:dyDescent="0.25">
      <c r="B68" s="85"/>
      <c r="D68" s="81" t="s">
        <v>190</v>
      </c>
      <c r="E68" s="81"/>
      <c r="F68" s="81"/>
      <c r="G68" s="81"/>
      <c r="H68" s="81"/>
      <c r="I68" s="81"/>
      <c r="J68" s="81"/>
      <c r="K68" s="84"/>
      <c r="L68" s="83"/>
      <c r="M68" s="83"/>
      <c r="N68" s="83"/>
      <c r="O68" s="83"/>
      <c r="P68" s="83"/>
    </row>
    <row r="69" spans="2:16" ht="15" x14ac:dyDescent="0.25">
      <c r="B69" s="85"/>
      <c r="C69" s="81"/>
      <c r="D69" s="81"/>
      <c r="E69" s="81"/>
      <c r="F69" s="81"/>
      <c r="G69" s="81"/>
      <c r="H69" s="81"/>
      <c r="I69" s="81"/>
      <c r="J69" s="81"/>
      <c r="K69" s="84"/>
      <c r="L69" s="83"/>
      <c r="M69" s="83"/>
      <c r="N69" s="83"/>
      <c r="O69" s="83"/>
      <c r="P69" s="83"/>
    </row>
    <row r="70" spans="2:16" ht="15.6" x14ac:dyDescent="0.3">
      <c r="B70" s="85"/>
      <c r="D70" s="82" t="s">
        <v>189</v>
      </c>
      <c r="E70" s="81"/>
      <c r="F70" s="81"/>
      <c r="G70" s="81"/>
      <c r="H70" s="81"/>
      <c r="I70" s="81"/>
      <c r="J70" s="81"/>
      <c r="K70" s="84"/>
      <c r="L70" s="83"/>
      <c r="M70" s="83"/>
      <c r="N70" s="83"/>
      <c r="O70" s="83"/>
      <c r="P70" s="83"/>
    </row>
    <row r="71" spans="2:16" ht="15" x14ac:dyDescent="0.25">
      <c r="B71" s="85"/>
      <c r="C71" s="81"/>
      <c r="D71" s="81"/>
      <c r="E71" s="81"/>
      <c r="F71" s="81"/>
      <c r="G71" s="81"/>
      <c r="H71" s="81"/>
      <c r="I71" s="81"/>
      <c r="J71" s="81"/>
      <c r="K71" s="84"/>
      <c r="L71" s="83"/>
      <c r="M71" s="83"/>
      <c r="N71" s="83"/>
      <c r="O71" s="83"/>
      <c r="P71" s="83"/>
    </row>
    <row r="72" spans="2:16" ht="15" x14ac:dyDescent="0.25">
      <c r="B72" s="85"/>
      <c r="C72" s="81"/>
      <c r="D72" s="387" t="s">
        <v>403</v>
      </c>
      <c r="E72" s="378"/>
      <c r="F72" s="378"/>
      <c r="G72" s="378"/>
      <c r="H72" s="378"/>
      <c r="I72" s="378"/>
      <c r="J72" s="378"/>
      <c r="K72" s="388"/>
      <c r="L72" s="83"/>
      <c r="M72" s="83"/>
      <c r="N72" s="83"/>
      <c r="O72" s="83"/>
      <c r="P72" s="83"/>
    </row>
    <row r="73" spans="2:16" ht="15" x14ac:dyDescent="0.25">
      <c r="B73" s="85"/>
      <c r="C73" s="81"/>
      <c r="D73" s="387" t="s">
        <v>399</v>
      </c>
      <c r="E73" s="378"/>
      <c r="F73" s="378"/>
      <c r="G73" s="378"/>
      <c r="H73" s="378"/>
      <c r="I73" s="378"/>
      <c r="J73" s="378"/>
      <c r="K73" s="388"/>
      <c r="L73" s="83"/>
      <c r="M73" s="83"/>
      <c r="N73" s="83"/>
      <c r="O73" s="83"/>
      <c r="P73" s="83"/>
    </row>
    <row r="74" spans="2:16" ht="15" x14ac:dyDescent="0.25">
      <c r="B74" s="85"/>
      <c r="C74" s="81"/>
      <c r="D74" s="387" t="s">
        <v>404</v>
      </c>
      <c r="E74" s="378"/>
      <c r="F74" s="378"/>
      <c r="G74" s="378"/>
      <c r="H74" s="378"/>
      <c r="I74" s="378"/>
      <c r="J74" s="378"/>
      <c r="K74" s="388"/>
      <c r="L74" s="83"/>
      <c r="M74" s="83"/>
      <c r="N74" s="83"/>
      <c r="O74" s="83"/>
      <c r="P74" s="83"/>
    </row>
    <row r="75" spans="2:16" ht="15" x14ac:dyDescent="0.25">
      <c r="B75" s="85"/>
      <c r="C75" s="81"/>
      <c r="D75" s="387" t="s">
        <v>400</v>
      </c>
      <c r="E75" s="378"/>
      <c r="F75" s="378"/>
      <c r="G75" s="378"/>
      <c r="H75" s="378"/>
      <c r="I75" s="378"/>
      <c r="J75" s="378"/>
      <c r="K75" s="388"/>
      <c r="L75" s="83"/>
      <c r="M75" s="83"/>
      <c r="N75" s="83"/>
      <c r="O75" s="83"/>
      <c r="P75" s="83"/>
    </row>
    <row r="76" spans="2:16" ht="15" x14ac:dyDescent="0.25">
      <c r="B76" s="85"/>
      <c r="C76" s="81"/>
      <c r="D76" s="387" t="s">
        <v>402</v>
      </c>
      <c r="E76" s="378"/>
      <c r="F76" s="378"/>
      <c r="G76" s="378"/>
      <c r="H76" s="378"/>
      <c r="I76" s="378"/>
      <c r="J76" s="378"/>
      <c r="K76" s="388"/>
      <c r="L76" s="83"/>
      <c r="M76" s="83"/>
      <c r="N76" s="83"/>
      <c r="O76" s="83"/>
      <c r="P76" s="83"/>
    </row>
    <row r="77" spans="2:16" ht="15" x14ac:dyDescent="0.25">
      <c r="B77" s="85"/>
      <c r="C77" s="81"/>
      <c r="D77" s="387" t="s">
        <v>401</v>
      </c>
      <c r="E77" s="378"/>
      <c r="F77" s="378"/>
      <c r="G77" s="378"/>
      <c r="H77" s="378"/>
      <c r="I77" s="378"/>
      <c r="J77" s="378"/>
      <c r="K77" s="388"/>
      <c r="L77" s="83"/>
      <c r="M77" s="83"/>
      <c r="N77" s="83"/>
      <c r="O77" s="83"/>
      <c r="P77" s="83"/>
    </row>
    <row r="78" spans="2:16" ht="15" customHeight="1" x14ac:dyDescent="0.25">
      <c r="B78" s="80"/>
      <c r="C78" s="79"/>
      <c r="D78" s="79"/>
      <c r="E78" s="79"/>
      <c r="F78" s="79"/>
      <c r="G78" s="79"/>
      <c r="H78" s="79"/>
      <c r="I78" s="79"/>
      <c r="J78" s="79"/>
      <c r="K78" s="78"/>
    </row>
    <row r="79" spans="2:16" ht="15.6" x14ac:dyDescent="0.3">
      <c r="B79" s="80"/>
      <c r="D79" s="82" t="s">
        <v>188</v>
      </c>
      <c r="E79" s="81"/>
      <c r="F79" s="79"/>
      <c r="G79" s="79"/>
      <c r="H79" s="79"/>
      <c r="I79" s="79"/>
      <c r="J79" s="79"/>
      <c r="K79" s="78"/>
    </row>
    <row r="80" spans="2:16" x14ac:dyDescent="0.25">
      <c r="B80" s="80"/>
      <c r="C80" s="79"/>
      <c r="D80" s="79"/>
      <c r="E80" s="79"/>
      <c r="F80" s="79"/>
      <c r="G80" s="79"/>
      <c r="H80" s="79"/>
      <c r="I80" s="79"/>
      <c r="J80" s="79"/>
      <c r="K80" s="78"/>
    </row>
    <row r="81" spans="2:11" ht="15" x14ac:dyDescent="0.25">
      <c r="B81" s="80"/>
      <c r="D81" s="95" t="s">
        <v>230</v>
      </c>
      <c r="E81" s="79"/>
      <c r="F81" s="79"/>
      <c r="G81" s="79"/>
      <c r="H81" s="79"/>
      <c r="I81" s="79"/>
      <c r="J81" s="79"/>
      <c r="K81" s="78"/>
    </row>
    <row r="82" spans="2:11" ht="15" x14ac:dyDescent="0.25">
      <c r="B82" s="80"/>
      <c r="D82" s="124"/>
      <c r="E82" s="125"/>
      <c r="F82" s="125"/>
      <c r="G82" s="125"/>
      <c r="H82" s="125"/>
      <c r="I82" s="125"/>
      <c r="J82" s="125"/>
      <c r="K82" s="78"/>
    </row>
    <row r="83" spans="2:11" ht="15" x14ac:dyDescent="0.25">
      <c r="B83" s="80"/>
      <c r="D83" s="126" t="s">
        <v>405</v>
      </c>
      <c r="E83" s="125"/>
      <c r="F83" s="125"/>
      <c r="G83" s="125"/>
      <c r="H83" s="125"/>
      <c r="I83" s="125"/>
      <c r="J83" s="125"/>
      <c r="K83" s="78"/>
    </row>
    <row r="84" spans="2:11" ht="15" x14ac:dyDescent="0.25">
      <c r="B84" s="80"/>
      <c r="D84" s="120" t="s">
        <v>409</v>
      </c>
      <c r="E84" s="125"/>
      <c r="F84" s="125"/>
      <c r="G84" s="125"/>
      <c r="H84" s="125"/>
      <c r="I84" s="125"/>
      <c r="J84" s="125"/>
      <c r="K84" s="78"/>
    </row>
    <row r="85" spans="2:11" ht="15" x14ac:dyDescent="0.25">
      <c r="B85" s="80"/>
      <c r="C85" s="79"/>
      <c r="D85" s="120" t="s">
        <v>408</v>
      </c>
      <c r="E85" s="125"/>
      <c r="F85" s="125"/>
      <c r="G85" s="125"/>
      <c r="H85" s="125"/>
      <c r="I85" s="125"/>
      <c r="J85" s="125"/>
      <c r="K85" s="78"/>
    </row>
    <row r="86" spans="2:11" ht="15" x14ac:dyDescent="0.25">
      <c r="B86" s="80"/>
      <c r="C86" s="79"/>
      <c r="D86" s="120"/>
      <c r="E86" s="125"/>
      <c r="F86" s="125"/>
      <c r="G86" s="125"/>
      <c r="H86" s="125"/>
      <c r="I86" s="125"/>
      <c r="J86" s="125"/>
      <c r="K86" s="78"/>
    </row>
    <row r="87" spans="2:11" ht="15" x14ac:dyDescent="0.25">
      <c r="B87" s="80"/>
      <c r="C87" s="79"/>
      <c r="D87" s="126" t="s">
        <v>406</v>
      </c>
      <c r="E87" s="125"/>
      <c r="F87" s="125"/>
      <c r="G87" s="125"/>
      <c r="H87" s="125"/>
      <c r="I87" s="125"/>
      <c r="J87" s="125"/>
      <c r="K87" s="78"/>
    </row>
    <row r="88" spans="2:11" ht="15" x14ac:dyDescent="0.25">
      <c r="B88" s="80"/>
      <c r="C88" s="79"/>
      <c r="D88" s="120" t="s">
        <v>409</v>
      </c>
      <c r="E88" s="125"/>
      <c r="F88" s="125"/>
      <c r="G88" s="125"/>
      <c r="H88" s="125"/>
      <c r="I88" s="125"/>
      <c r="J88" s="125"/>
      <c r="K88" s="78"/>
    </row>
    <row r="89" spans="2:11" ht="15" x14ac:dyDescent="0.25">
      <c r="B89" s="80"/>
      <c r="C89" s="79"/>
      <c r="D89" s="120" t="s">
        <v>408</v>
      </c>
      <c r="E89" s="125"/>
      <c r="F89" s="125"/>
      <c r="G89" s="125"/>
      <c r="H89" s="125"/>
      <c r="I89" s="125"/>
      <c r="J89" s="125"/>
      <c r="K89" s="78"/>
    </row>
    <row r="90" spans="2:11" x14ac:dyDescent="0.25">
      <c r="B90" s="80"/>
      <c r="C90" s="94"/>
      <c r="D90" s="79"/>
      <c r="E90" s="79"/>
      <c r="F90" s="79"/>
      <c r="G90" s="79"/>
      <c r="H90" s="79"/>
      <c r="I90" s="79"/>
      <c r="J90" s="79"/>
      <c r="K90" s="78"/>
    </row>
    <row r="91" spans="2:11" x14ac:dyDescent="0.25">
      <c r="B91" s="80"/>
      <c r="C91" s="79"/>
      <c r="D91" s="79"/>
      <c r="E91" s="79"/>
      <c r="F91" s="79"/>
      <c r="G91" s="79"/>
      <c r="H91" s="79"/>
      <c r="I91" s="79"/>
      <c r="J91" s="79"/>
      <c r="K91" s="78"/>
    </row>
    <row r="92" spans="2:11" ht="15" x14ac:dyDescent="0.25">
      <c r="B92" s="80"/>
      <c r="D92" s="95" t="s">
        <v>584</v>
      </c>
      <c r="E92" s="79"/>
      <c r="F92" s="79"/>
      <c r="G92" s="79"/>
      <c r="H92" s="79"/>
      <c r="I92" s="79"/>
      <c r="J92" s="79"/>
      <c r="K92" s="78"/>
    </row>
    <row r="93" spans="2:11" ht="15" x14ac:dyDescent="0.25">
      <c r="B93" s="80"/>
      <c r="D93" s="81" t="s">
        <v>585</v>
      </c>
      <c r="E93" s="79"/>
      <c r="F93" s="79"/>
      <c r="G93" s="79"/>
      <c r="H93" s="79"/>
      <c r="I93" s="79"/>
      <c r="J93" s="79"/>
      <c r="K93" s="78"/>
    </row>
    <row r="94" spans="2:11" ht="17.25" customHeight="1" x14ac:dyDescent="0.25">
      <c r="B94" s="80"/>
      <c r="D94" s="81" t="s">
        <v>407</v>
      </c>
      <c r="E94" s="79"/>
      <c r="F94" s="79"/>
      <c r="G94" s="79"/>
      <c r="H94" s="79"/>
      <c r="I94" s="79"/>
      <c r="J94" s="79"/>
      <c r="K94" s="78"/>
    </row>
    <row r="95" spans="2:11" x14ac:dyDescent="0.25">
      <c r="B95" s="77"/>
      <c r="C95" s="76"/>
      <c r="D95" s="76"/>
      <c r="E95" s="76"/>
      <c r="F95" s="76"/>
      <c r="G95" s="76"/>
      <c r="H95" s="76"/>
      <c r="I95" s="76"/>
      <c r="J95" s="76"/>
      <c r="K95" s="75"/>
    </row>
  </sheetData>
  <customSheetViews>
    <customSheetView guid="{3AB13850-701C-4820-AD57-684822783DA8}" showPageBreaks="1" fitToPage="1" printArea="1" showRuler="0" topLeftCell="A28">
      <selection activeCell="J35" sqref="J35"/>
      <rowBreaks count="5" manualBreakCount="5">
        <brk id="41" min="1" max="10" man="1"/>
        <brk id="42" min="1" max="10" man="1"/>
        <brk id="43" min="1" max="10" man="1"/>
        <brk id="44" min="1" max="10" man="1"/>
        <brk id="46" min="1" max="10" man="1"/>
      </rowBreaks>
      <pageMargins left="0.7" right="0.7" top="0.75" bottom="0.75" header="0.3" footer="0.3"/>
      <printOptions horizontalCentered="1"/>
      <pageSetup scale="65" fitToHeight="2" orientation="portrait" r:id="rId1"/>
      <headerFooter alignWithMargins="0">
        <oddFooter>&amp;C&amp;P of 7</oddFooter>
      </headerFooter>
    </customSheetView>
    <customSheetView guid="{AE843321-E62A-4FB5-89CA-294B4C65B762}" showPageBreaks="1" fitToPage="1" printArea="1" showRuler="0" topLeftCell="A61">
      <selection activeCell="I74" sqref="I74"/>
      <rowBreaks count="5" manualBreakCount="5">
        <brk id="41" min="1" max="10" man="1"/>
        <brk id="42" min="1" max="10" man="1"/>
        <brk id="43" min="1" max="10" man="1"/>
        <brk id="44" min="1" max="10" man="1"/>
        <brk id="46" min="1" max="10" man="1"/>
      </rowBreaks>
      <pageMargins left="0.7" right="0.7" top="0.75" bottom="0.75" header="0.3" footer="0.3"/>
      <printOptions horizontalCentered="1"/>
      <pageSetup scale="65" fitToHeight="2" orientation="portrait" r:id="rId2"/>
      <headerFooter alignWithMargins="0">
        <oddFooter>&amp;C&amp;P of 7</oddFooter>
      </headerFooter>
    </customSheetView>
    <customSheetView guid="{7A95F243-208B-446A-A9F7-7175CA517233}" showPageBreaks="1" fitToPage="1" printArea="1" showRuler="0">
      <selection activeCell="I24" sqref="I24"/>
      <rowBreaks count="5" manualBreakCount="5">
        <brk id="41" min="1" max="10" man="1"/>
        <brk id="42" min="1" max="10" man="1"/>
        <brk id="43" min="1" max="10" man="1"/>
        <brk id="44" min="1" max="10" man="1"/>
        <brk id="46" min="1" max="10" man="1"/>
      </rowBreaks>
      <pageMargins left="0.7" right="0.7" top="0.75" bottom="0.75" header="0.3" footer="0.3"/>
      <printOptions horizontalCentered="1"/>
      <pageSetup scale="65" fitToHeight="2" orientation="portrait" r:id="rId3"/>
      <headerFooter alignWithMargins="0">
        <oddFooter>&amp;C&amp;P of 7</oddFooter>
      </headerFooter>
    </customSheetView>
    <customSheetView guid="{ECCB89A0-B2FD-43C6-AE6E-2A82A36F1CC0}" fitToPage="1" topLeftCell="B16">
      <selection activeCell="G38" sqref="G38:H38"/>
      <rowBreaks count="6" manualBreakCount="6">
        <brk id="41" min="1" max="10" man="1"/>
        <brk id="42" min="1" max="10" man="1"/>
        <brk id="43" min="1" max="10" man="1"/>
        <brk id="44" min="1" max="10" man="1"/>
        <brk id="45" min="1" max="10" man="1"/>
        <brk id="46" min="1" max="10" man="1"/>
      </rowBreaks>
      <pageMargins left="0.7" right="0.7" top="0.75" bottom="0.75" header="0.3" footer="0.3"/>
      <printOptions horizontalCentered="1"/>
      <pageSetup scale="65" fitToHeight="2" orientation="portrait" r:id="rId4"/>
      <headerFooter>
        <oddFooter>&amp;C&amp;P of 7</oddFooter>
      </headerFooter>
    </customSheetView>
    <customSheetView guid="{C18738E0-1B17-433A-8FC5-25913E085428}" showPageBreaks="1" fitToPage="1" printArea="1" topLeftCell="B1">
      <selection activeCell="D68" sqref="D68"/>
      <rowBreaks count="8" manualBreakCount="8">
        <brk id="41" min="1" max="10" man="1"/>
        <brk id="42" min="1" max="10" man="1"/>
        <brk id="43" min="1" max="10" man="1"/>
        <brk id="44" min="1" max="10" man="1"/>
        <brk id="45" min="1" max="10" man="1"/>
        <brk id="46" min="1" max="10" man="1"/>
        <brk id="52" min="1" max="10" man="1"/>
        <brk id="53" min="1" max="10" man="1"/>
      </rowBreaks>
      <pageMargins left="0.7" right="0.7" top="0.75" bottom="0.75" header="0.3" footer="0.3"/>
      <printOptions horizontalCentered="1"/>
      <pageSetup paperSize="8" scale="94" fitToHeight="2" orientation="portrait" r:id="rId5"/>
      <headerFooter>
        <oddFooter>&amp;C&amp;P of 7</oddFooter>
      </headerFooter>
    </customSheetView>
    <customSheetView guid="{F1899CAA-DD89-4E8A-BDC1-328EE12130F5}" showPageBreaks="1" fitToPage="1" topLeftCell="B67">
      <selection activeCell="D93" sqref="D93"/>
      <rowBreaks count="7" manualBreakCount="7">
        <brk id="41" min="1" max="10" man="1"/>
        <brk id="42" min="1" max="10" man="1"/>
        <brk id="43" min="1" max="10" man="1"/>
        <brk id="44" min="1" max="10" man="1"/>
        <brk id="45" max="16383" man="1"/>
        <brk id="46" min="1" max="10" man="1"/>
        <brk id="101" max="16383" man="1"/>
      </rowBreaks>
      <pageMargins left="0.7" right="0.7" top="0.75" bottom="0.75" header="0.3" footer="0.3"/>
      <printOptions horizontalCentered="1"/>
      <pageSetup scale="63" fitToHeight="2" orientation="portrait" r:id="rId6"/>
      <headerFooter>
        <oddFooter>&amp;C&amp;P of 7</oddFooter>
      </headerFooter>
    </customSheetView>
  </customSheetViews>
  <mergeCells count="32">
    <mergeCell ref="G37:H37"/>
    <mergeCell ref="G38:H38"/>
    <mergeCell ref="B4:J4"/>
    <mergeCell ref="B5:J5"/>
    <mergeCell ref="B7:J7"/>
    <mergeCell ref="B8:J8"/>
    <mergeCell ref="I42:I44"/>
    <mergeCell ref="G35:H35"/>
    <mergeCell ref="G39:H39"/>
    <mergeCell ref="F39:F41"/>
    <mergeCell ref="G41:H41"/>
    <mergeCell ref="F42:F44"/>
    <mergeCell ref="F36:F38"/>
    <mergeCell ref="G42:H42"/>
    <mergeCell ref="G40:H40"/>
    <mergeCell ref="G44:H44"/>
    <mergeCell ref="G43:H43"/>
    <mergeCell ref="G36:H36"/>
    <mergeCell ref="F60:F61"/>
    <mergeCell ref="G60:H61"/>
    <mergeCell ref="G59:H59"/>
    <mergeCell ref="G45:H45"/>
    <mergeCell ref="I61:J61"/>
    <mergeCell ref="I59:J59"/>
    <mergeCell ref="J55:J58"/>
    <mergeCell ref="G56:H56"/>
    <mergeCell ref="G57:H57"/>
    <mergeCell ref="G58:H58"/>
    <mergeCell ref="G55:H55"/>
    <mergeCell ref="I60:J60"/>
    <mergeCell ref="I54:J54"/>
    <mergeCell ref="G54:H54"/>
  </mergeCells>
  <phoneticPr fontId="16" type="noConversion"/>
  <printOptions horizontalCentered="1"/>
  <pageMargins left="0.7" right="0.7" top="0.75" bottom="0.75" header="0.3" footer="0.3"/>
  <pageSetup scale="65" fitToHeight="2" orientation="portrait" r:id="rId7"/>
  <headerFooter alignWithMargins="0">
    <oddFooter>&amp;C&amp;P of 8</oddFooter>
  </headerFooter>
  <rowBreaks count="5" manualBreakCount="5">
    <brk id="41" min="1" max="10" man="1"/>
    <brk id="42" min="1" max="10" man="1"/>
    <brk id="43" min="1" max="10" man="1"/>
    <brk id="44" min="1" max="10" man="1"/>
    <brk id="46"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65"/>
  <sheetViews>
    <sheetView tabSelected="1" showRuler="0" zoomScale="70" zoomScaleNormal="70" zoomScaleSheetLayoutView="75" workbookViewId="0">
      <selection activeCell="H3" sqref="H1:J1048576"/>
    </sheetView>
  </sheetViews>
  <sheetFormatPr defaultColWidth="9.109375" defaultRowHeight="15.6" x14ac:dyDescent="0.25"/>
  <cols>
    <col min="1" max="1" width="18.88671875" style="14" bestFit="1" customWidth="1"/>
    <col min="2" max="2" width="14.33203125" style="9" bestFit="1" customWidth="1"/>
    <col min="3" max="3" width="69.88671875" style="12" customWidth="1"/>
    <col min="4" max="4" width="14.6640625" style="12" customWidth="1"/>
    <col min="5" max="5" width="16.5546875" style="9" customWidth="1"/>
    <col min="6" max="6" width="16" style="12" customWidth="1"/>
    <col min="7" max="7" width="14.44140625" style="12" bestFit="1" customWidth="1"/>
    <col min="8" max="8" width="15.44140625" style="44" hidden="1" customWidth="1"/>
    <col min="9" max="9" width="14.44140625" style="44" hidden="1" customWidth="1"/>
    <col min="10" max="10" width="22.5546875" style="44" hidden="1" customWidth="1"/>
    <col min="11" max="11" width="16.6640625" style="12" customWidth="1"/>
    <col min="12" max="12" width="12.88671875" style="12" customWidth="1"/>
    <col min="13" max="13" width="22.5546875" style="12" customWidth="1"/>
    <col min="14" max="15" width="20.6640625" style="12" bestFit="1" customWidth="1"/>
    <col min="16" max="16" width="9.109375" style="8"/>
    <col min="17" max="17" width="9.109375" style="8" customWidth="1"/>
    <col min="18" max="18" width="14.44140625" style="8" bestFit="1" customWidth="1"/>
    <col min="19" max="19" width="9.109375" style="8" customWidth="1"/>
    <col min="20" max="20" width="10.109375" style="8" bestFit="1" customWidth="1"/>
    <col min="21" max="16384" width="9.109375" style="8"/>
  </cols>
  <sheetData>
    <row r="1" spans="1:18" ht="23.25" customHeight="1" x14ac:dyDescent="0.25">
      <c r="A1" s="591" t="s">
        <v>545</v>
      </c>
      <c r="B1" s="592"/>
      <c r="C1" s="592"/>
      <c r="D1" s="592"/>
      <c r="E1" s="592"/>
      <c r="F1" s="592"/>
      <c r="G1" s="592"/>
      <c r="H1" s="592"/>
      <c r="I1" s="592"/>
      <c r="J1" s="592"/>
      <c r="K1" s="592"/>
      <c r="L1" s="592"/>
      <c r="M1" s="592"/>
      <c r="N1" s="592"/>
      <c r="O1" s="593"/>
    </row>
    <row r="2" spans="1:18" ht="22.5" customHeight="1" x14ac:dyDescent="0.25">
      <c r="A2" s="594" t="s">
        <v>276</v>
      </c>
      <c r="B2" s="595"/>
      <c r="C2" s="595"/>
      <c r="D2" s="595"/>
      <c r="E2" s="595"/>
      <c r="F2" s="595"/>
      <c r="G2" s="595"/>
      <c r="H2" s="595"/>
      <c r="I2" s="595"/>
      <c r="J2" s="595"/>
      <c r="K2" s="595"/>
      <c r="L2" s="595"/>
      <c r="M2" s="595"/>
      <c r="N2" s="595"/>
      <c r="O2" s="596"/>
    </row>
    <row r="3" spans="1:18" s="24" customFormat="1" x14ac:dyDescent="0.25">
      <c r="A3" s="2">
        <v>1</v>
      </c>
      <c r="B3" s="22">
        <v>2</v>
      </c>
      <c r="C3" s="22">
        <v>3</v>
      </c>
      <c r="D3" s="22"/>
      <c r="E3" s="22">
        <v>4</v>
      </c>
      <c r="F3" s="22">
        <v>5</v>
      </c>
      <c r="G3" s="22">
        <v>6</v>
      </c>
      <c r="H3" s="40">
        <v>7</v>
      </c>
      <c r="I3" s="40">
        <v>8</v>
      </c>
      <c r="J3" s="40">
        <v>9</v>
      </c>
      <c r="K3" s="22">
        <v>10</v>
      </c>
      <c r="L3" s="22">
        <v>11</v>
      </c>
      <c r="M3" s="22">
        <v>12</v>
      </c>
      <c r="N3" s="22">
        <v>13</v>
      </c>
      <c r="O3" s="30">
        <v>14</v>
      </c>
    </row>
    <row r="4" spans="1:18" ht="72" customHeight="1" x14ac:dyDescent="0.3">
      <c r="A4" s="597" t="s">
        <v>0</v>
      </c>
      <c r="B4" s="598"/>
      <c r="C4" s="580" t="s">
        <v>1</v>
      </c>
      <c r="D4" s="129"/>
      <c r="E4" s="578" t="s">
        <v>2</v>
      </c>
      <c r="F4" s="574" t="s">
        <v>232</v>
      </c>
      <c r="G4" s="130"/>
      <c r="H4" s="584" t="s">
        <v>480</v>
      </c>
      <c r="I4" s="584"/>
      <c r="J4" s="585"/>
      <c r="K4" s="574" t="s">
        <v>25</v>
      </c>
      <c r="L4" s="574" t="s">
        <v>231</v>
      </c>
      <c r="M4" s="574" t="s">
        <v>592</v>
      </c>
      <c r="N4" s="574" t="s">
        <v>270</v>
      </c>
      <c r="O4" s="574" t="s">
        <v>271</v>
      </c>
    </row>
    <row r="5" spans="1:18" ht="50.25" customHeight="1" x14ac:dyDescent="0.25">
      <c r="A5" s="131" t="s">
        <v>313</v>
      </c>
      <c r="B5" s="131" t="s">
        <v>59</v>
      </c>
      <c r="C5" s="581"/>
      <c r="D5" s="132"/>
      <c r="E5" s="579"/>
      <c r="F5" s="575"/>
      <c r="G5" s="133" t="s">
        <v>269</v>
      </c>
      <c r="H5" s="134" t="s">
        <v>6</v>
      </c>
      <c r="I5" s="134" t="s">
        <v>7</v>
      </c>
      <c r="J5" s="157" t="s">
        <v>311</v>
      </c>
      <c r="K5" s="575"/>
      <c r="L5" s="575"/>
      <c r="M5" s="575"/>
      <c r="N5" s="575"/>
      <c r="O5" s="575"/>
    </row>
    <row r="6" spans="1:18" x14ac:dyDescent="0.25">
      <c r="B6" s="35"/>
      <c r="C6" s="51"/>
      <c r="D6" s="52"/>
      <c r="E6" s="35"/>
      <c r="F6" s="36"/>
      <c r="G6" s="36"/>
      <c r="H6" s="41"/>
      <c r="I6" s="41"/>
      <c r="J6" s="41"/>
      <c r="K6" s="36"/>
      <c r="L6" s="36"/>
      <c r="M6" s="37"/>
      <c r="N6" s="35"/>
      <c r="O6" s="38"/>
    </row>
    <row r="7" spans="1:18" x14ac:dyDescent="0.25">
      <c r="A7" s="96" t="s">
        <v>9</v>
      </c>
      <c r="B7" s="97" t="s">
        <v>3</v>
      </c>
      <c r="C7" s="98"/>
      <c r="D7" s="98"/>
      <c r="E7" s="99"/>
      <c r="F7" s="98"/>
      <c r="G7" s="98"/>
      <c r="H7" s="100"/>
      <c r="I7" s="100"/>
      <c r="J7" s="100"/>
      <c r="K7" s="98"/>
      <c r="L7" s="98"/>
      <c r="M7" s="98"/>
      <c r="N7" s="98"/>
      <c r="O7" s="101"/>
    </row>
    <row r="8" spans="1:18" x14ac:dyDescent="0.25">
      <c r="A8" s="145">
        <v>5</v>
      </c>
      <c r="B8" s="147" t="s">
        <v>70</v>
      </c>
      <c r="C8" s="148" t="s">
        <v>178</v>
      </c>
      <c r="D8" s="149"/>
      <c r="E8" s="146" t="s">
        <v>9</v>
      </c>
      <c r="F8" s="150">
        <v>1</v>
      </c>
      <c r="G8" s="151"/>
      <c r="H8" s="255">
        <f>+I8</f>
        <v>6423.4426409999996</v>
      </c>
      <c r="I8" s="151">
        <f>+J8*1.5039</f>
        <v>6423.4426409999996</v>
      </c>
      <c r="J8" s="255">
        <v>4271.1899999999996</v>
      </c>
      <c r="K8" s="150" t="s">
        <v>18</v>
      </c>
      <c r="L8" s="150" t="s">
        <v>10</v>
      </c>
      <c r="M8" s="152">
        <v>40318</v>
      </c>
      <c r="N8" s="152">
        <v>40337</v>
      </c>
      <c r="O8" s="152">
        <f>+N8+30</f>
        <v>40367</v>
      </c>
      <c r="Q8" s="23"/>
      <c r="R8" s="23"/>
    </row>
    <row r="9" spans="1:18" s="177" customFormat="1" ht="31.2" x14ac:dyDescent="0.25">
      <c r="A9" s="170" t="s">
        <v>561</v>
      </c>
      <c r="B9" s="176" t="s">
        <v>374</v>
      </c>
      <c r="C9" s="171" t="s">
        <v>560</v>
      </c>
      <c r="D9" s="171"/>
      <c r="E9" s="172" t="s">
        <v>9</v>
      </c>
      <c r="F9" s="173">
        <v>1</v>
      </c>
      <c r="G9" s="256"/>
      <c r="H9" s="257">
        <f>1250000+767000</f>
        <v>2017000</v>
      </c>
      <c r="I9" s="180">
        <f>+H9</f>
        <v>2017000</v>
      </c>
      <c r="J9" s="257">
        <f>+I9/Sayfa1!A1+10868-183+1300</f>
        <v>1521777.011732229</v>
      </c>
      <c r="K9" s="381" t="s">
        <v>279</v>
      </c>
      <c r="L9" s="173" t="s">
        <v>10</v>
      </c>
      <c r="M9" s="181">
        <v>41414</v>
      </c>
      <c r="N9" s="181">
        <f>+M9+75</f>
        <v>41489</v>
      </c>
      <c r="O9" s="181">
        <f>+N9+150</f>
        <v>41639</v>
      </c>
      <c r="Q9" s="23"/>
      <c r="R9" s="469"/>
    </row>
    <row r="10" spans="1:18" s="177" customFormat="1" x14ac:dyDescent="0.25">
      <c r="A10" s="170">
        <v>3.3</v>
      </c>
      <c r="B10" s="176" t="s">
        <v>375</v>
      </c>
      <c r="C10" s="171" t="s">
        <v>394</v>
      </c>
      <c r="D10" s="171"/>
      <c r="E10" s="172" t="s">
        <v>9</v>
      </c>
      <c r="F10" s="173">
        <v>1</v>
      </c>
      <c r="G10" s="256"/>
      <c r="H10" s="257">
        <f>+Sayfa1!C8+92309</f>
        <v>2643660.351351351</v>
      </c>
      <c r="I10" s="180">
        <f>+H10</f>
        <v>2643660.351351351</v>
      </c>
      <c r="J10" s="257">
        <f>+I10/Sayfa1!A1</f>
        <v>1978868.2598926565</v>
      </c>
      <c r="K10" s="381" t="s">
        <v>279</v>
      </c>
      <c r="L10" s="173" t="s">
        <v>10</v>
      </c>
      <c r="M10" s="181">
        <v>41491</v>
      </c>
      <c r="N10" s="181">
        <f>+M10+75</f>
        <v>41566</v>
      </c>
      <c r="O10" s="181">
        <f>+N10+390</f>
        <v>41956</v>
      </c>
      <c r="Q10" s="23"/>
      <c r="R10" s="469"/>
    </row>
    <row r="11" spans="1:18" s="177" customFormat="1" x14ac:dyDescent="0.25">
      <c r="A11" s="170">
        <v>2.2000000000000002</v>
      </c>
      <c r="B11" s="176" t="s">
        <v>377</v>
      </c>
      <c r="C11" s="171" t="s">
        <v>516</v>
      </c>
      <c r="D11" s="171"/>
      <c r="E11" s="172" t="s">
        <v>9</v>
      </c>
      <c r="F11" s="173">
        <v>1</v>
      </c>
      <c r="G11" s="256"/>
      <c r="H11" s="257">
        <v>950000</v>
      </c>
      <c r="I11" s="180">
        <f>+H11</f>
        <v>950000</v>
      </c>
      <c r="J11" s="257">
        <f>+I11/Sayfa1!A1+12866.4</f>
        <v>723973.19779158046</v>
      </c>
      <c r="K11" s="173" t="s">
        <v>11</v>
      </c>
      <c r="L11" s="173" t="s">
        <v>10</v>
      </c>
      <c r="M11" s="181">
        <f>+N11-80</f>
        <v>41704</v>
      </c>
      <c r="N11" s="181">
        <f>+O11-7*30</f>
        <v>41784</v>
      </c>
      <c r="O11" s="181">
        <f>+O16+45</f>
        <v>41994</v>
      </c>
      <c r="Q11" s="23"/>
      <c r="R11" s="469"/>
    </row>
    <row r="12" spans="1:18" s="177" customFormat="1" x14ac:dyDescent="0.25">
      <c r="A12" s="170">
        <v>4.2</v>
      </c>
      <c r="B12" s="176" t="s">
        <v>393</v>
      </c>
      <c r="C12" s="171" t="s">
        <v>381</v>
      </c>
      <c r="D12" s="171"/>
      <c r="E12" s="172" t="s">
        <v>9</v>
      </c>
      <c r="F12" s="173">
        <v>1</v>
      </c>
      <c r="G12" s="256"/>
      <c r="H12" s="257">
        <v>95000</v>
      </c>
      <c r="I12" s="180">
        <f>+H12</f>
        <v>95000</v>
      </c>
      <c r="J12" s="257">
        <f>+I12/Sayfa1!A1</f>
        <v>71110.679779158047</v>
      </c>
      <c r="K12" s="173" t="s">
        <v>18</v>
      </c>
      <c r="L12" s="173" t="s">
        <v>12</v>
      </c>
      <c r="M12" s="181">
        <v>41506</v>
      </c>
      <c r="N12" s="181">
        <f>+M12+5</f>
        <v>41511</v>
      </c>
      <c r="O12" s="181">
        <f>+N12+5</f>
        <v>41516</v>
      </c>
      <c r="Q12" s="23"/>
      <c r="R12" s="469"/>
    </row>
    <row r="13" spans="1:18" s="34" customFormat="1" x14ac:dyDescent="0.25">
      <c r="A13" s="33"/>
      <c r="B13" s="68"/>
      <c r="C13" s="32" t="s">
        <v>5</v>
      </c>
      <c r="D13" s="32"/>
      <c r="E13" s="137"/>
      <c r="F13" s="138"/>
      <c r="G13" s="258"/>
      <c r="H13" s="259">
        <f>SUM(H8:H12)</f>
        <v>5712083.7939923508</v>
      </c>
      <c r="I13" s="259">
        <f>SUM(I8:I12)</f>
        <v>5712083.7939923508</v>
      </c>
      <c r="J13" s="259">
        <f>SUM(J8:J12)</f>
        <v>4300000.339195624</v>
      </c>
      <c r="K13" s="138"/>
      <c r="L13" s="138"/>
      <c r="M13" s="106"/>
      <c r="N13" s="106"/>
      <c r="O13" s="106"/>
      <c r="Q13" s="23"/>
      <c r="R13" s="470"/>
    </row>
    <row r="14" spans="1:18" x14ac:dyDescent="0.25">
      <c r="A14" s="96" t="s">
        <v>13</v>
      </c>
      <c r="B14" s="102" t="s">
        <v>4</v>
      </c>
      <c r="C14" s="98"/>
      <c r="D14" s="98"/>
      <c r="E14" s="99"/>
      <c r="F14" s="98"/>
      <c r="G14" s="260"/>
      <c r="H14" s="260"/>
      <c r="I14" s="260"/>
      <c r="J14" s="260"/>
      <c r="K14" s="98"/>
      <c r="L14" s="98"/>
      <c r="M14" s="98"/>
      <c r="N14" s="98"/>
      <c r="O14" s="101"/>
      <c r="Q14" s="23"/>
    </row>
    <row r="15" spans="1:18" x14ac:dyDescent="0.25">
      <c r="A15" s="153">
        <v>2.2000000000000002</v>
      </c>
      <c r="B15" s="153" t="s">
        <v>235</v>
      </c>
      <c r="C15" s="155" t="s">
        <v>331</v>
      </c>
      <c r="D15" s="154"/>
      <c r="E15" s="153" t="s">
        <v>13</v>
      </c>
      <c r="F15" s="153">
        <v>1</v>
      </c>
      <c r="G15" s="163">
        <f>+H15</f>
        <v>17033682.425220001</v>
      </c>
      <c r="H15" s="163">
        <f>+I15</f>
        <v>17033682.425220001</v>
      </c>
      <c r="I15" s="163">
        <f>+J15*1.5039</f>
        <v>17033682.425220001</v>
      </c>
      <c r="J15" s="163">
        <v>11326339.800000001</v>
      </c>
      <c r="K15" s="153" t="s">
        <v>279</v>
      </c>
      <c r="L15" s="153" t="s">
        <v>10</v>
      </c>
      <c r="M15" s="152">
        <v>40571</v>
      </c>
      <c r="N15" s="152">
        <f>+M15+60-4</f>
        <v>40627</v>
      </c>
      <c r="O15" s="152">
        <f>+N15+15*30+31-12</f>
        <v>41096</v>
      </c>
      <c r="Q15" s="23"/>
      <c r="R15" s="23"/>
    </row>
    <row r="16" spans="1:18" x14ac:dyDescent="0.25">
      <c r="A16" s="11">
        <v>2.2000000000000002</v>
      </c>
      <c r="B16" s="26" t="s">
        <v>312</v>
      </c>
      <c r="C16" s="160" t="s">
        <v>513</v>
      </c>
      <c r="D16" s="118"/>
      <c r="E16" s="11" t="s">
        <v>13</v>
      </c>
      <c r="F16" s="27" t="s">
        <v>81</v>
      </c>
      <c r="G16" s="263"/>
      <c r="H16" s="257">
        <f>+Sayfa1!B14/Sayfa1!C1</f>
        <v>8694936.8214820791</v>
      </c>
      <c r="I16" s="25">
        <f>+H16</f>
        <v>8694936.8214820791</v>
      </c>
      <c r="J16" s="264">
        <f>+I16/1.35-19614+50000+20489+1509273-377381+200-1</f>
        <v>7623659.9418385765</v>
      </c>
      <c r="K16" s="27" t="s">
        <v>11</v>
      </c>
      <c r="L16" s="27" t="s">
        <v>10</v>
      </c>
      <c r="M16" s="55">
        <f>+N262+4*30</f>
        <v>41559</v>
      </c>
      <c r="N16" s="55">
        <f>+M16+30</f>
        <v>41589</v>
      </c>
      <c r="O16" s="382">
        <f>+N16+12*30</f>
        <v>41949</v>
      </c>
      <c r="Q16" s="23"/>
      <c r="R16" s="23"/>
    </row>
    <row r="17" spans="1:18" x14ac:dyDescent="0.25">
      <c r="B17" s="70"/>
      <c r="C17" s="32" t="s">
        <v>5</v>
      </c>
      <c r="D17" s="32"/>
      <c r="E17" s="69"/>
      <c r="G17" s="265"/>
      <c r="H17" s="259">
        <f>SUM(H15:H16)</f>
        <v>25728619.246702082</v>
      </c>
      <c r="I17" s="259">
        <f>SUM(I15:I16)</f>
        <v>25728619.246702082</v>
      </c>
      <c r="J17" s="266">
        <f>SUM(J15:J16)</f>
        <v>18949999.741838578</v>
      </c>
      <c r="K17" s="71"/>
      <c r="L17" s="139"/>
      <c r="M17" s="106"/>
      <c r="N17" s="106"/>
      <c r="O17" s="106"/>
      <c r="Q17" s="23"/>
      <c r="R17" s="23"/>
    </row>
    <row r="18" spans="1:18" x14ac:dyDescent="0.25">
      <c r="A18" s="96" t="s">
        <v>20</v>
      </c>
      <c r="B18" s="102" t="s">
        <v>23</v>
      </c>
      <c r="C18" s="98"/>
      <c r="D18" s="98"/>
      <c r="E18" s="98"/>
      <c r="F18" s="98"/>
      <c r="G18" s="260"/>
      <c r="H18" s="260"/>
      <c r="I18" s="260"/>
      <c r="J18" s="260"/>
      <c r="K18" s="98"/>
      <c r="L18" s="98"/>
      <c r="M18" s="98"/>
      <c r="N18" s="98"/>
      <c r="O18" s="101"/>
      <c r="Q18" s="23"/>
    </row>
    <row r="19" spans="1:18" s="60" customFormat="1" x14ac:dyDescent="0.25">
      <c r="A19" s="56">
        <v>1.1000000000000001</v>
      </c>
      <c r="B19" s="66" t="s">
        <v>315</v>
      </c>
      <c r="C19" s="57" t="s">
        <v>248</v>
      </c>
      <c r="D19" s="58"/>
      <c r="E19" s="117" t="s">
        <v>20</v>
      </c>
      <c r="F19" s="117" t="s">
        <v>81</v>
      </c>
      <c r="G19" s="267"/>
      <c r="H19" s="268">
        <f>SUM(H22:H223)</f>
        <v>134076096.09718792</v>
      </c>
      <c r="I19" s="269"/>
      <c r="J19" s="266">
        <f>SUM(J22:J223)</f>
        <v>99697394.450344965</v>
      </c>
      <c r="K19" s="234"/>
      <c r="L19" s="59"/>
      <c r="M19" s="55"/>
      <c r="N19" s="55"/>
      <c r="O19" s="55"/>
      <c r="Q19" s="23"/>
      <c r="R19" s="530"/>
    </row>
    <row r="20" spans="1:18" s="60" customFormat="1" x14ac:dyDescent="0.25">
      <c r="A20" s="65"/>
      <c r="B20" s="116"/>
      <c r="C20" s="573"/>
      <c r="D20" s="573"/>
      <c r="E20" s="108"/>
      <c r="F20" s="108"/>
      <c r="G20" s="270"/>
      <c r="H20" s="271"/>
      <c r="I20" s="272"/>
      <c r="J20" s="272"/>
      <c r="K20" s="108"/>
      <c r="L20" s="108"/>
      <c r="M20" s="109"/>
      <c r="N20" s="109"/>
      <c r="O20" s="110"/>
      <c r="Q20" s="23"/>
    </row>
    <row r="21" spans="1:18" s="195" customFormat="1" x14ac:dyDescent="0.25">
      <c r="A21" s="189">
        <v>1.1000000000000001</v>
      </c>
      <c r="B21" s="190" t="s">
        <v>66</v>
      </c>
      <c r="C21" s="191" t="s">
        <v>249</v>
      </c>
      <c r="D21" s="192"/>
      <c r="E21" s="193"/>
      <c r="F21" s="193"/>
      <c r="G21" s="273"/>
      <c r="H21" s="274"/>
      <c r="I21" s="274"/>
      <c r="J21" s="274"/>
      <c r="K21" s="193"/>
      <c r="L21" s="193"/>
      <c r="M21" s="183"/>
      <c r="N21" s="183"/>
      <c r="O21" s="194"/>
      <c r="Q21" s="23"/>
    </row>
    <row r="22" spans="1:18" ht="18.600000000000001" x14ac:dyDescent="0.25">
      <c r="A22" s="153"/>
      <c r="B22" s="153"/>
      <c r="C22" s="155" t="s">
        <v>128</v>
      </c>
      <c r="D22" s="154" t="s">
        <v>148</v>
      </c>
      <c r="E22" s="153" t="s">
        <v>20</v>
      </c>
      <c r="F22" s="153">
        <v>1</v>
      </c>
      <c r="G22" s="163"/>
      <c r="H22" s="163">
        <f>+Sayfa1!B20/Sayfa1!$B$1</f>
        <v>1315677.3046666665</v>
      </c>
      <c r="I22" s="163">
        <f>+H22</f>
        <v>1315677.3046666665</v>
      </c>
      <c r="J22" s="163">
        <f>+Sayfa1!D20*1</f>
        <v>873342.08</v>
      </c>
      <c r="K22" s="153" t="s">
        <v>11</v>
      </c>
      <c r="L22" s="153" t="s">
        <v>28</v>
      </c>
      <c r="M22" s="152">
        <v>39981</v>
      </c>
      <c r="N22" s="152">
        <v>40056</v>
      </c>
      <c r="O22" s="152">
        <v>40589</v>
      </c>
      <c r="Q22" s="23"/>
      <c r="R22" s="23"/>
    </row>
    <row r="23" spans="1:18" ht="18.600000000000001" x14ac:dyDescent="0.25">
      <c r="A23" s="153"/>
      <c r="B23" s="153"/>
      <c r="C23" s="155" t="s">
        <v>283</v>
      </c>
      <c r="D23" s="154" t="s">
        <v>147</v>
      </c>
      <c r="E23" s="153" t="s">
        <v>20</v>
      </c>
      <c r="F23" s="153">
        <v>1</v>
      </c>
      <c r="G23" s="163"/>
      <c r="H23" s="163">
        <f>+Sayfa1!B21/Sayfa1!$B$1</f>
        <v>1170182.5573333332</v>
      </c>
      <c r="I23" s="163">
        <f t="shared" ref="I23:I32" si="0">+H23</f>
        <v>1170182.5573333332</v>
      </c>
      <c r="J23" s="163">
        <f>+Sayfa1!D21*1</f>
        <v>718658.49</v>
      </c>
      <c r="K23" s="153" t="s">
        <v>11</v>
      </c>
      <c r="L23" s="153" t="s">
        <v>28</v>
      </c>
      <c r="M23" s="152">
        <v>39981</v>
      </c>
      <c r="N23" s="152">
        <v>40052</v>
      </c>
      <c r="O23" s="152">
        <v>40590</v>
      </c>
      <c r="Q23" s="23"/>
      <c r="R23" s="23"/>
    </row>
    <row r="24" spans="1:18" ht="18.600000000000001" x14ac:dyDescent="0.25">
      <c r="A24" s="153"/>
      <c r="B24" s="153"/>
      <c r="C24" s="155" t="s">
        <v>130</v>
      </c>
      <c r="D24" s="154" t="s">
        <v>143</v>
      </c>
      <c r="E24" s="153" t="s">
        <v>20</v>
      </c>
      <c r="F24" s="153">
        <v>1</v>
      </c>
      <c r="G24" s="163"/>
      <c r="H24" s="163">
        <f>+Sayfa1!B22/Sayfa1!$B$1</f>
        <v>669775.86666666658</v>
      </c>
      <c r="I24" s="163">
        <f t="shared" si="0"/>
        <v>669775.86666666658</v>
      </c>
      <c r="J24" s="163">
        <f>+Sayfa1!D22*1</f>
        <v>514541.28</v>
      </c>
      <c r="K24" s="153" t="s">
        <v>11</v>
      </c>
      <c r="L24" s="153" t="s">
        <v>28</v>
      </c>
      <c r="M24" s="152">
        <v>39953</v>
      </c>
      <c r="N24" s="152">
        <v>40023</v>
      </c>
      <c r="O24" s="152">
        <v>40631</v>
      </c>
      <c r="Q24" s="23"/>
      <c r="R24" s="23"/>
    </row>
    <row r="25" spans="1:18" ht="18.600000000000001" x14ac:dyDescent="0.25">
      <c r="A25" s="153"/>
      <c r="B25" s="153"/>
      <c r="C25" s="155" t="s">
        <v>131</v>
      </c>
      <c r="D25" s="154" t="s">
        <v>144</v>
      </c>
      <c r="E25" s="153" t="s">
        <v>20</v>
      </c>
      <c r="F25" s="153">
        <v>1</v>
      </c>
      <c r="G25" s="163"/>
      <c r="H25" s="163">
        <f>+Sayfa1!B23/Sayfa1!$B$1</f>
        <v>781843.74706666672</v>
      </c>
      <c r="I25" s="163">
        <f t="shared" si="0"/>
        <v>781843.74706666672</v>
      </c>
      <c r="J25" s="163">
        <f>+Sayfa1!D23*1</f>
        <v>563542.49</v>
      </c>
      <c r="K25" s="153" t="s">
        <v>11</v>
      </c>
      <c r="L25" s="153" t="s">
        <v>28</v>
      </c>
      <c r="M25" s="152">
        <v>39953</v>
      </c>
      <c r="N25" s="152">
        <v>40036</v>
      </c>
      <c r="O25" s="152">
        <v>40624</v>
      </c>
      <c r="Q25" s="23"/>
      <c r="R25" s="23"/>
    </row>
    <row r="26" spans="1:18" ht="18.600000000000001" x14ac:dyDescent="0.25">
      <c r="A26" s="153"/>
      <c r="B26" s="153"/>
      <c r="C26" s="155" t="s">
        <v>132</v>
      </c>
      <c r="D26" s="154" t="s">
        <v>177</v>
      </c>
      <c r="E26" s="153" t="s">
        <v>20</v>
      </c>
      <c r="F26" s="153">
        <v>1</v>
      </c>
      <c r="G26" s="163"/>
      <c r="H26" s="163">
        <f>+Sayfa1!B24/Sayfa1!$B$1</f>
        <v>669255.88</v>
      </c>
      <c r="I26" s="163">
        <f t="shared" si="0"/>
        <v>669255.88</v>
      </c>
      <c r="J26" s="163">
        <f>+Sayfa1!D24*1</f>
        <v>509911.97</v>
      </c>
      <c r="K26" s="153" t="s">
        <v>11</v>
      </c>
      <c r="L26" s="153" t="s">
        <v>28</v>
      </c>
      <c r="M26" s="152">
        <v>39953</v>
      </c>
      <c r="N26" s="152">
        <v>40024</v>
      </c>
      <c r="O26" s="152">
        <v>40687</v>
      </c>
      <c r="Q26" s="23"/>
      <c r="R26" s="23"/>
    </row>
    <row r="27" spans="1:18" ht="18.600000000000001" x14ac:dyDescent="0.25">
      <c r="A27" s="153"/>
      <c r="B27" s="153"/>
      <c r="C27" s="155" t="s">
        <v>139</v>
      </c>
      <c r="D27" s="154" t="s">
        <v>129</v>
      </c>
      <c r="E27" s="153" t="s">
        <v>20</v>
      </c>
      <c r="F27" s="153">
        <v>1</v>
      </c>
      <c r="G27" s="163"/>
      <c r="H27" s="163">
        <f>+Sayfa1!B25/Sayfa1!$B$1</f>
        <v>443539.12373333331</v>
      </c>
      <c r="I27" s="163">
        <f t="shared" si="0"/>
        <v>443539.12373333331</v>
      </c>
      <c r="J27" s="163">
        <f>+Sayfa1!D25*1</f>
        <v>291499.12</v>
      </c>
      <c r="K27" s="153" t="s">
        <v>11</v>
      </c>
      <c r="L27" s="153" t="s">
        <v>28</v>
      </c>
      <c r="M27" s="152">
        <v>39953</v>
      </c>
      <c r="N27" s="152">
        <v>40023</v>
      </c>
      <c r="O27" s="152">
        <v>40687</v>
      </c>
      <c r="Q27" s="23"/>
      <c r="R27" s="23"/>
    </row>
    <row r="28" spans="1:18" x14ac:dyDescent="0.25">
      <c r="A28" s="153"/>
      <c r="B28" s="153"/>
      <c r="C28" s="155" t="s">
        <v>137</v>
      </c>
      <c r="D28" s="154" t="s">
        <v>146</v>
      </c>
      <c r="E28" s="153" t="s">
        <v>20</v>
      </c>
      <c r="F28" s="153">
        <v>1</v>
      </c>
      <c r="G28" s="163"/>
      <c r="H28" s="163">
        <f>+Sayfa1!B26/Sayfa1!$B$1</f>
        <v>956065.10666666657</v>
      </c>
      <c r="I28" s="163">
        <f t="shared" si="0"/>
        <v>956065.10666666657</v>
      </c>
      <c r="J28" s="163">
        <f>+Sayfa1!D26*1</f>
        <v>619171.32999999996</v>
      </c>
      <c r="K28" s="153" t="s">
        <v>11</v>
      </c>
      <c r="L28" s="153" t="s">
        <v>10</v>
      </c>
      <c r="M28" s="152">
        <v>39951</v>
      </c>
      <c r="N28" s="152">
        <v>40021</v>
      </c>
      <c r="O28" s="152">
        <v>40674</v>
      </c>
      <c r="Q28" s="23"/>
      <c r="R28" s="23"/>
    </row>
    <row r="29" spans="1:18" x14ac:dyDescent="0.25">
      <c r="A29" s="153"/>
      <c r="B29" s="153"/>
      <c r="C29" s="155" t="s">
        <v>137</v>
      </c>
      <c r="D29" s="154" t="s">
        <v>142</v>
      </c>
      <c r="E29" s="153" t="s">
        <v>20</v>
      </c>
      <c r="F29" s="153">
        <v>1</v>
      </c>
      <c r="G29" s="163"/>
      <c r="H29" s="163">
        <f>+Sayfa1!B27/Sayfa1!$B$1</f>
        <v>585775.6</v>
      </c>
      <c r="I29" s="163">
        <f t="shared" si="0"/>
        <v>585775.6</v>
      </c>
      <c r="J29" s="163">
        <f>+Sayfa1!D27*1</f>
        <v>404618.33</v>
      </c>
      <c r="K29" s="153" t="s">
        <v>11</v>
      </c>
      <c r="L29" s="153" t="s">
        <v>10</v>
      </c>
      <c r="M29" s="152">
        <v>39951</v>
      </c>
      <c r="N29" s="152">
        <v>40021</v>
      </c>
      <c r="O29" s="152">
        <v>40674</v>
      </c>
      <c r="Q29" s="23"/>
      <c r="R29" s="23"/>
    </row>
    <row r="30" spans="1:18" ht="18.600000000000001" x14ac:dyDescent="0.25">
      <c r="A30" s="153"/>
      <c r="B30" s="153"/>
      <c r="C30" s="155" t="s">
        <v>133</v>
      </c>
      <c r="D30" s="154" t="s">
        <v>145</v>
      </c>
      <c r="E30" s="153" t="s">
        <v>20</v>
      </c>
      <c r="F30" s="153">
        <v>1</v>
      </c>
      <c r="G30" s="163"/>
      <c r="H30" s="163">
        <f>+Sayfa1!B28/Sayfa1!$B$1</f>
        <v>1325967.0226666667</v>
      </c>
      <c r="I30" s="163">
        <f t="shared" si="0"/>
        <v>1325967.0226666667</v>
      </c>
      <c r="J30" s="163">
        <f>+Sayfa1!D28*1</f>
        <v>892336.28</v>
      </c>
      <c r="K30" s="153" t="s">
        <v>11</v>
      </c>
      <c r="L30" s="153" t="s">
        <v>28</v>
      </c>
      <c r="M30" s="152">
        <v>39981</v>
      </c>
      <c r="N30" s="152">
        <v>40051</v>
      </c>
      <c r="O30" s="152">
        <v>40743</v>
      </c>
      <c r="Q30" s="23"/>
      <c r="R30" s="23"/>
    </row>
    <row r="31" spans="1:18" ht="18.600000000000001" x14ac:dyDescent="0.25">
      <c r="A31" s="153"/>
      <c r="B31" s="153"/>
      <c r="C31" s="155" t="s">
        <v>122</v>
      </c>
      <c r="D31" s="154" t="s">
        <v>123</v>
      </c>
      <c r="E31" s="153" t="s">
        <v>20</v>
      </c>
      <c r="F31" s="153">
        <v>1</v>
      </c>
      <c r="G31" s="163"/>
      <c r="H31" s="163">
        <f>+Sayfa1!B29/Sayfa1!$B$1</f>
        <v>1077451.1166666665</v>
      </c>
      <c r="I31" s="163">
        <f t="shared" si="0"/>
        <v>1077451.1166666665</v>
      </c>
      <c r="J31" s="163">
        <f>+Sayfa1!D29*1</f>
        <v>669410.01</v>
      </c>
      <c r="K31" s="153" t="s">
        <v>11</v>
      </c>
      <c r="L31" s="153" t="s">
        <v>28</v>
      </c>
      <c r="M31" s="152">
        <v>39981</v>
      </c>
      <c r="N31" s="152">
        <v>40050</v>
      </c>
      <c r="O31" s="152">
        <v>40553</v>
      </c>
      <c r="Q31" s="23"/>
      <c r="R31" s="23"/>
    </row>
    <row r="32" spans="1:18" ht="18.600000000000001" x14ac:dyDescent="0.25">
      <c r="A32" s="153"/>
      <c r="B32" s="153"/>
      <c r="C32" s="155" t="s">
        <v>110</v>
      </c>
      <c r="D32" s="154" t="s">
        <v>109</v>
      </c>
      <c r="E32" s="153" t="s">
        <v>20</v>
      </c>
      <c r="F32" s="153">
        <v>1</v>
      </c>
      <c r="G32" s="163"/>
      <c r="H32" s="163">
        <f>+Sayfa1!B30/Sayfa1!$B$1</f>
        <v>589929.98666666669</v>
      </c>
      <c r="I32" s="163">
        <f t="shared" si="0"/>
        <v>589929.98666666669</v>
      </c>
      <c r="J32" s="163">
        <f>+Sayfa1!D30*1</f>
        <v>454957.56</v>
      </c>
      <c r="K32" s="153" t="s">
        <v>11</v>
      </c>
      <c r="L32" s="153" t="s">
        <v>28</v>
      </c>
      <c r="M32" s="152">
        <v>39981</v>
      </c>
      <c r="N32" s="152">
        <v>40051</v>
      </c>
      <c r="O32" s="152">
        <v>40652</v>
      </c>
      <c r="Q32" s="23"/>
      <c r="R32" s="23"/>
    </row>
    <row r="33" spans="1:18" s="195" customFormat="1" x14ac:dyDescent="0.25">
      <c r="A33" s="199"/>
      <c r="B33" s="200"/>
      <c r="C33" s="201"/>
      <c r="D33" s="192"/>
      <c r="E33" s="193"/>
      <c r="F33" s="193"/>
      <c r="G33" s="273"/>
      <c r="H33" s="274"/>
      <c r="I33" s="274"/>
      <c r="J33" s="274"/>
      <c r="K33" s="193"/>
      <c r="L33" s="193"/>
      <c r="M33" s="183"/>
      <c r="N33" s="183"/>
      <c r="O33" s="194"/>
      <c r="Q33" s="23"/>
      <c r="R33" s="23"/>
    </row>
    <row r="34" spans="1:18" s="195" customFormat="1" x14ac:dyDescent="0.25">
      <c r="A34" s="202">
        <v>1.1000000000000001</v>
      </c>
      <c r="B34" s="203" t="s">
        <v>244</v>
      </c>
      <c r="C34" s="191" t="s">
        <v>250</v>
      </c>
      <c r="D34" s="192"/>
      <c r="E34" s="193"/>
      <c r="F34" s="193"/>
      <c r="G34" s="273"/>
      <c r="H34" s="274"/>
      <c r="I34" s="274"/>
      <c r="J34" s="274"/>
      <c r="K34" s="193"/>
      <c r="L34" s="193"/>
      <c r="M34" s="183"/>
      <c r="N34" s="183"/>
      <c r="O34" s="194"/>
      <c r="Q34" s="23"/>
      <c r="R34" s="23"/>
    </row>
    <row r="35" spans="1:18" x14ac:dyDescent="0.25">
      <c r="A35" s="245"/>
      <c r="B35" s="245"/>
      <c r="C35" s="155" t="s">
        <v>91</v>
      </c>
      <c r="D35" s="154" t="s">
        <v>83</v>
      </c>
      <c r="E35" s="245"/>
      <c r="F35" s="245"/>
      <c r="G35" s="163">
        <f>+Sayfa1!E33*Sayfa1!$A$1</f>
        <v>805939.89859167917</v>
      </c>
      <c r="H35" s="244"/>
      <c r="I35" s="244"/>
      <c r="J35" s="244"/>
      <c r="K35" s="245"/>
      <c r="L35" s="245"/>
      <c r="M35" s="301"/>
      <c r="N35" s="152">
        <v>40315</v>
      </c>
      <c r="O35" s="152">
        <v>40889</v>
      </c>
      <c r="Q35" s="23"/>
      <c r="R35" s="23"/>
    </row>
    <row r="36" spans="1:18" x14ac:dyDescent="0.25">
      <c r="A36" s="245"/>
      <c r="B36" s="245"/>
      <c r="C36" s="155" t="s">
        <v>136</v>
      </c>
      <c r="D36" s="154" t="s">
        <v>84</v>
      </c>
      <c r="E36" s="245"/>
      <c r="F36" s="245"/>
      <c r="G36" s="163">
        <f>+Sayfa1!E34*Sayfa1!$A$1</f>
        <v>1127113.7795182667</v>
      </c>
      <c r="H36" s="244"/>
      <c r="I36" s="244"/>
      <c r="J36" s="244"/>
      <c r="K36" s="245"/>
      <c r="L36" s="245"/>
      <c r="M36" s="245"/>
      <c r="N36" s="152">
        <v>40330</v>
      </c>
      <c r="O36" s="152">
        <v>40810</v>
      </c>
      <c r="Q36" s="23"/>
      <c r="R36" s="23"/>
    </row>
    <row r="37" spans="1:18" x14ac:dyDescent="0.25">
      <c r="A37" s="245"/>
      <c r="B37" s="245"/>
      <c r="C37" s="155" t="s">
        <v>92</v>
      </c>
      <c r="D37" s="154" t="s">
        <v>85</v>
      </c>
      <c r="E37" s="245"/>
      <c r="F37" s="245"/>
      <c r="G37" s="163">
        <f>+Sayfa1!E35*Sayfa1!$A$1</f>
        <v>1199074.2222519303</v>
      </c>
      <c r="H37" s="244"/>
      <c r="I37" s="244"/>
      <c r="J37" s="244"/>
      <c r="K37" s="245"/>
      <c r="L37" s="245"/>
      <c r="M37" s="301"/>
      <c r="N37" s="152">
        <v>40315</v>
      </c>
      <c r="O37" s="152">
        <v>40835</v>
      </c>
      <c r="Q37" s="23"/>
      <c r="R37" s="23"/>
    </row>
    <row r="38" spans="1:18" x14ac:dyDescent="0.25">
      <c r="A38" s="245"/>
      <c r="B38" s="245"/>
      <c r="C38" s="155" t="s">
        <v>93</v>
      </c>
      <c r="D38" s="154" t="s">
        <v>86</v>
      </c>
      <c r="E38" s="245"/>
      <c r="F38" s="245"/>
      <c r="G38" s="163">
        <f>+Sayfa1!E36*Sayfa1!$A$1</f>
        <v>1034253.149152933</v>
      </c>
      <c r="H38" s="244"/>
      <c r="I38" s="244"/>
      <c r="J38" s="244"/>
      <c r="K38" s="245"/>
      <c r="L38" s="245"/>
      <c r="M38" s="245"/>
      <c r="N38" s="152">
        <v>40325</v>
      </c>
      <c r="O38" s="152">
        <v>40810</v>
      </c>
      <c r="Q38" s="23"/>
      <c r="R38" s="23"/>
    </row>
    <row r="39" spans="1:18" x14ac:dyDescent="0.25">
      <c r="A39" s="245"/>
      <c r="B39" s="245"/>
      <c r="C39" s="155" t="s">
        <v>117</v>
      </c>
      <c r="D39" s="154" t="s">
        <v>112</v>
      </c>
      <c r="E39" s="245"/>
      <c r="F39" s="245"/>
      <c r="G39" s="163">
        <f>+Sayfa1!E37*Sayfa1!$A$1</f>
        <v>1186109.6183012561</v>
      </c>
      <c r="H39" s="244"/>
      <c r="I39" s="244"/>
      <c r="J39" s="244"/>
      <c r="K39" s="245"/>
      <c r="L39" s="245"/>
      <c r="M39" s="245"/>
      <c r="N39" s="152">
        <v>40315</v>
      </c>
      <c r="O39" s="152">
        <v>40822</v>
      </c>
      <c r="Q39" s="23"/>
      <c r="R39" s="23"/>
    </row>
    <row r="40" spans="1:18" x14ac:dyDescent="0.25">
      <c r="A40" s="245"/>
      <c r="B40" s="245"/>
      <c r="C40" s="155" t="s">
        <v>94</v>
      </c>
      <c r="D40" s="154" t="s">
        <v>87</v>
      </c>
      <c r="E40" s="245"/>
      <c r="F40" s="245"/>
      <c r="G40" s="163">
        <f>+Sayfa1!E38*Sayfa1!$A$1</f>
        <v>1634925.7806430792</v>
      </c>
      <c r="H40" s="244"/>
      <c r="I40" s="244"/>
      <c r="J40" s="244"/>
      <c r="K40" s="245"/>
      <c r="L40" s="245"/>
      <c r="M40" s="301"/>
      <c r="N40" s="152">
        <v>40316</v>
      </c>
      <c r="O40" s="152">
        <v>40830</v>
      </c>
      <c r="Q40" s="23"/>
      <c r="R40" s="23"/>
    </row>
    <row r="41" spans="1:18" x14ac:dyDescent="0.25">
      <c r="A41" s="245"/>
      <c r="B41" s="245"/>
      <c r="C41" s="155" t="s">
        <v>95</v>
      </c>
      <c r="D41" s="154" t="s">
        <v>88</v>
      </c>
      <c r="E41" s="245"/>
      <c r="F41" s="245"/>
      <c r="G41" s="163">
        <f>+Sayfa1!E39*Sayfa1!$A$1</f>
        <v>1257215.991010718</v>
      </c>
      <c r="H41" s="244"/>
      <c r="I41" s="244"/>
      <c r="J41" s="244"/>
      <c r="K41" s="245"/>
      <c r="L41" s="245"/>
      <c r="M41" s="301"/>
      <c r="N41" s="152">
        <v>40318</v>
      </c>
      <c r="O41" s="152">
        <v>41016</v>
      </c>
      <c r="Q41" s="23"/>
      <c r="R41" s="23"/>
    </row>
    <row r="42" spans="1:18" x14ac:dyDescent="0.25">
      <c r="A42" s="245"/>
      <c r="B42" s="245"/>
      <c r="C42" s="155" t="s">
        <v>96</v>
      </c>
      <c r="D42" s="154" t="s">
        <v>89</v>
      </c>
      <c r="E42" s="245"/>
      <c r="F42" s="245"/>
      <c r="G42" s="163">
        <f>+Sayfa1!E40*Sayfa1!$A$1</f>
        <v>2380293.8254235336</v>
      </c>
      <c r="H42" s="244"/>
      <c r="I42" s="244"/>
      <c r="J42" s="244"/>
      <c r="K42" s="245"/>
      <c r="L42" s="245"/>
      <c r="M42" s="245"/>
      <c r="N42" s="152">
        <v>40312</v>
      </c>
      <c r="O42" s="152">
        <v>40828</v>
      </c>
      <c r="Q42" s="23"/>
      <c r="R42" s="23"/>
    </row>
    <row r="43" spans="1:18" x14ac:dyDescent="0.25">
      <c r="A43" s="245"/>
      <c r="B43" s="245"/>
      <c r="C43" s="155" t="s">
        <v>97</v>
      </c>
      <c r="D43" s="154" t="s">
        <v>90</v>
      </c>
      <c r="E43" s="245" t="s">
        <v>20</v>
      </c>
      <c r="F43" s="245">
        <v>19</v>
      </c>
      <c r="G43" s="163">
        <f>+Sayfa1!E41*Sayfa1!$A$1</f>
        <v>663815.2320663823</v>
      </c>
      <c r="H43" s="244"/>
      <c r="I43" s="244"/>
      <c r="J43" s="244"/>
      <c r="K43" s="245"/>
      <c r="L43" s="245"/>
      <c r="M43" s="245"/>
      <c r="N43" s="152">
        <v>40316</v>
      </c>
      <c r="O43" s="152">
        <v>40868</v>
      </c>
      <c r="Q43" s="23"/>
      <c r="R43" s="23"/>
    </row>
    <row r="44" spans="1:18" ht="18.600000000000001" x14ac:dyDescent="0.25">
      <c r="A44" s="245"/>
      <c r="B44" s="245"/>
      <c r="C44" s="155" t="s">
        <v>127</v>
      </c>
      <c r="D44" s="154" t="s">
        <v>126</v>
      </c>
      <c r="E44" s="245"/>
      <c r="F44" s="245"/>
      <c r="G44" s="163">
        <f>+Sayfa1!E42*Sayfa1!$A$1</f>
        <v>705001.84720064537</v>
      </c>
      <c r="H44" s="244">
        <f>SUM(G35:G53)</f>
        <v>20277137.710932348</v>
      </c>
      <c r="I44" s="244">
        <f>+H44</f>
        <v>20277137.710932348</v>
      </c>
      <c r="J44" s="244">
        <f>SUM(Sayfa1!E33:E51)</f>
        <v>15178116.279999999</v>
      </c>
      <c r="K44" s="245" t="s">
        <v>11</v>
      </c>
      <c r="L44" s="245" t="s">
        <v>310</v>
      </c>
      <c r="M44" s="301">
        <v>40200</v>
      </c>
      <c r="N44" s="152">
        <v>40318</v>
      </c>
      <c r="O44" s="152">
        <v>40802</v>
      </c>
      <c r="Q44" s="23"/>
      <c r="R44" s="23"/>
    </row>
    <row r="45" spans="1:18" x14ac:dyDescent="0.25">
      <c r="A45" s="245"/>
      <c r="B45" s="245"/>
      <c r="C45" s="155" t="s">
        <v>125</v>
      </c>
      <c r="D45" s="154" t="s">
        <v>124</v>
      </c>
      <c r="E45" s="245"/>
      <c r="F45" s="245"/>
      <c r="G45" s="163">
        <f>+Sayfa1!E43*Sayfa1!$A$1</f>
        <v>1817975.1768860205</v>
      </c>
      <c r="H45" s="244"/>
      <c r="I45" s="244"/>
      <c r="J45" s="244"/>
      <c r="K45" s="245"/>
      <c r="L45" s="245"/>
      <c r="M45" s="301"/>
      <c r="N45" s="152">
        <v>40315</v>
      </c>
      <c r="O45" s="152">
        <v>41008</v>
      </c>
      <c r="Q45" s="23"/>
      <c r="R45" s="23"/>
    </row>
    <row r="46" spans="1:18" x14ac:dyDescent="0.25">
      <c r="A46" s="245"/>
      <c r="B46" s="245"/>
      <c r="C46" s="155" t="s">
        <v>121</v>
      </c>
      <c r="D46" s="154" t="s">
        <v>113</v>
      </c>
      <c r="E46" s="245"/>
      <c r="F46" s="245"/>
      <c r="G46" s="163">
        <f>+Sayfa1!E44*Sayfa1!$A$1</f>
        <v>782529.93675233366</v>
      </c>
      <c r="H46" s="244"/>
      <c r="I46" s="244"/>
      <c r="J46" s="244"/>
      <c r="K46" s="245"/>
      <c r="L46" s="245"/>
      <c r="M46" s="301"/>
      <c r="N46" s="152">
        <v>40316</v>
      </c>
      <c r="O46" s="152">
        <v>40893</v>
      </c>
      <c r="Q46" s="23"/>
      <c r="R46" s="23"/>
    </row>
    <row r="47" spans="1:18" x14ac:dyDescent="0.25">
      <c r="A47" s="245"/>
      <c r="B47" s="245"/>
      <c r="C47" s="155" t="s">
        <v>118</v>
      </c>
      <c r="D47" s="154" t="s">
        <v>114</v>
      </c>
      <c r="E47" s="245"/>
      <c r="F47" s="245"/>
      <c r="G47" s="163">
        <f>+Sayfa1!E45*Sayfa1!$A$1</f>
        <v>551507.16139679612</v>
      </c>
      <c r="H47" s="244"/>
      <c r="I47" s="244"/>
      <c r="J47" s="244"/>
      <c r="K47" s="245"/>
      <c r="L47" s="245"/>
      <c r="M47" s="301"/>
      <c r="N47" s="152">
        <v>40311</v>
      </c>
      <c r="O47" s="152">
        <v>40983</v>
      </c>
      <c r="Q47" s="23"/>
      <c r="R47" s="23"/>
    </row>
    <row r="48" spans="1:18" x14ac:dyDescent="0.25">
      <c r="A48" s="245"/>
      <c r="B48" s="245"/>
      <c r="C48" s="155" t="s">
        <v>119</v>
      </c>
      <c r="D48" s="154" t="s">
        <v>115</v>
      </c>
      <c r="E48" s="245"/>
      <c r="F48" s="245"/>
      <c r="G48" s="163">
        <f>+Sayfa1!E46*Sayfa1!$A$1</f>
        <v>510725.85879912414</v>
      </c>
      <c r="H48" s="244"/>
      <c r="I48" s="244"/>
      <c r="J48" s="244"/>
      <c r="K48" s="245"/>
      <c r="L48" s="245"/>
      <c r="M48" s="301"/>
      <c r="N48" s="152">
        <v>40312</v>
      </c>
      <c r="O48" s="152">
        <v>41032</v>
      </c>
      <c r="Q48" s="23"/>
      <c r="R48" s="23"/>
    </row>
    <row r="49" spans="1:18" x14ac:dyDescent="0.25">
      <c r="A49" s="245"/>
      <c r="B49" s="245"/>
      <c r="C49" s="155" t="s">
        <v>120</v>
      </c>
      <c r="D49" s="154" t="s">
        <v>116</v>
      </c>
      <c r="E49" s="245"/>
      <c r="F49" s="245"/>
      <c r="G49" s="163">
        <f>+Sayfa1!E47*Sayfa1!$A$1</f>
        <v>999099.46397141868</v>
      </c>
      <c r="H49" s="244"/>
      <c r="I49" s="244"/>
      <c r="J49" s="244"/>
      <c r="K49" s="245"/>
      <c r="L49" s="245"/>
      <c r="M49" s="245"/>
      <c r="N49" s="152">
        <v>40315</v>
      </c>
      <c r="O49" s="152">
        <v>40833</v>
      </c>
      <c r="Q49" s="23"/>
      <c r="R49" s="23"/>
    </row>
    <row r="50" spans="1:18" x14ac:dyDescent="0.25">
      <c r="A50" s="245"/>
      <c r="B50" s="245"/>
      <c r="C50" s="155" t="s">
        <v>103</v>
      </c>
      <c r="D50" s="154" t="s">
        <v>98</v>
      </c>
      <c r="E50" s="245"/>
      <c r="F50" s="245"/>
      <c r="G50" s="163">
        <f>+Sayfa1!E48*Sayfa1!$A$1</f>
        <v>486482.94823556533</v>
      </c>
      <c r="H50" s="244"/>
      <c r="I50" s="244"/>
      <c r="J50" s="244"/>
      <c r="K50" s="245"/>
      <c r="L50" s="245"/>
      <c r="M50" s="301"/>
      <c r="N50" s="152">
        <v>40308</v>
      </c>
      <c r="O50" s="152">
        <v>40995</v>
      </c>
      <c r="Q50" s="23"/>
      <c r="R50" s="23"/>
    </row>
    <row r="51" spans="1:18" x14ac:dyDescent="0.25">
      <c r="A51" s="245"/>
      <c r="B51" s="245"/>
      <c r="C51" s="155" t="s">
        <v>104</v>
      </c>
      <c r="D51" s="154" t="s">
        <v>99</v>
      </c>
      <c r="E51" s="245"/>
      <c r="F51" s="245"/>
      <c r="G51" s="163">
        <f>+Sayfa1!E49*Sayfa1!$A$1</f>
        <v>815003.68833467795</v>
      </c>
      <c r="H51" s="244"/>
      <c r="I51" s="244"/>
      <c r="J51" s="244"/>
      <c r="K51" s="245"/>
      <c r="L51" s="245"/>
      <c r="M51" s="301"/>
      <c r="N51" s="152">
        <v>40315</v>
      </c>
      <c r="O51" s="152">
        <v>40948</v>
      </c>
      <c r="Q51" s="23"/>
      <c r="R51" s="23"/>
    </row>
    <row r="52" spans="1:18" x14ac:dyDescent="0.25">
      <c r="A52" s="245"/>
      <c r="B52" s="245"/>
      <c r="C52" s="155" t="s">
        <v>105</v>
      </c>
      <c r="D52" s="154" t="s">
        <v>100</v>
      </c>
      <c r="E52" s="245"/>
      <c r="F52" s="245"/>
      <c r="G52" s="163">
        <f>+Sayfa1!E50*Sayfa1!$A$1</f>
        <v>1230565.5461565056</v>
      </c>
      <c r="H52" s="244"/>
      <c r="I52" s="244"/>
      <c r="J52" s="244"/>
      <c r="K52" s="245"/>
      <c r="L52" s="245"/>
      <c r="M52" s="301"/>
      <c r="N52" s="152">
        <v>40315</v>
      </c>
      <c r="O52" s="152">
        <v>40844</v>
      </c>
      <c r="Q52" s="23"/>
      <c r="R52" s="23"/>
    </row>
    <row r="53" spans="1:18" x14ac:dyDescent="0.25">
      <c r="A53" s="247"/>
      <c r="B53" s="247"/>
      <c r="C53" s="155" t="s">
        <v>106</v>
      </c>
      <c r="D53" s="154" t="s">
        <v>101</v>
      </c>
      <c r="E53" s="247"/>
      <c r="F53" s="247"/>
      <c r="G53" s="163">
        <f>+Sayfa1!E51*Sayfa1!$A$1</f>
        <v>1089504.5862394837</v>
      </c>
      <c r="H53" s="246"/>
      <c r="I53" s="246"/>
      <c r="J53" s="246"/>
      <c r="K53" s="247"/>
      <c r="L53" s="247"/>
      <c r="M53" s="247"/>
      <c r="N53" s="152">
        <v>40315</v>
      </c>
      <c r="O53" s="152">
        <v>40863</v>
      </c>
      <c r="Q53" s="23"/>
      <c r="R53" s="23"/>
    </row>
    <row r="54" spans="1:18" s="60" customFormat="1" x14ac:dyDescent="0.25">
      <c r="A54" s="65"/>
      <c r="B54" s="116"/>
      <c r="C54" s="115"/>
      <c r="D54" s="107"/>
      <c r="E54" s="108"/>
      <c r="F54" s="108"/>
      <c r="G54" s="270"/>
      <c r="H54" s="271"/>
      <c r="I54" s="272"/>
      <c r="J54" s="272"/>
      <c r="K54" s="108"/>
      <c r="L54" s="108"/>
      <c r="M54" s="109"/>
      <c r="N54" s="109"/>
      <c r="O54" s="110"/>
      <c r="Q54" s="23"/>
      <c r="R54" s="23"/>
    </row>
    <row r="55" spans="1:18" s="195" customFormat="1" x14ac:dyDescent="0.25">
      <c r="A55" s="202">
        <v>1.1000000000000001</v>
      </c>
      <c r="B55" s="203" t="s">
        <v>77</v>
      </c>
      <c r="C55" s="191" t="s">
        <v>251</v>
      </c>
      <c r="D55" s="192"/>
      <c r="E55" s="193"/>
      <c r="F55" s="193"/>
      <c r="G55" s="273"/>
      <c r="H55" s="274"/>
      <c r="I55" s="274"/>
      <c r="J55" s="274"/>
      <c r="K55" s="193"/>
      <c r="L55" s="193"/>
      <c r="M55" s="183"/>
      <c r="N55" s="183"/>
      <c r="O55" s="194"/>
      <c r="Q55" s="23"/>
      <c r="R55" s="23"/>
    </row>
    <row r="56" spans="1:18" x14ac:dyDescent="0.25">
      <c r="A56" s="245"/>
      <c r="B56" s="245"/>
      <c r="C56" s="155" t="s">
        <v>176</v>
      </c>
      <c r="D56" s="154" t="s">
        <v>175</v>
      </c>
      <c r="E56" s="245"/>
      <c r="F56" s="245"/>
      <c r="G56" s="163">
        <f>+Sayfa1!E54*Sayfa1!$A$1</f>
        <v>878599.6954892244</v>
      </c>
      <c r="H56" s="244"/>
      <c r="I56" s="244"/>
      <c r="J56" s="244"/>
      <c r="K56" s="245"/>
      <c r="L56" s="245"/>
      <c r="M56" s="301"/>
      <c r="N56" s="152">
        <v>40366</v>
      </c>
      <c r="O56" s="152">
        <v>40913</v>
      </c>
      <c r="Q56" s="23"/>
      <c r="R56" s="23"/>
    </row>
    <row r="57" spans="1:18" x14ac:dyDescent="0.25">
      <c r="A57" s="245"/>
      <c r="B57" s="245"/>
      <c r="C57" s="155" t="s">
        <v>155</v>
      </c>
      <c r="D57" s="154" t="s">
        <v>149</v>
      </c>
      <c r="E57" s="245"/>
      <c r="F57" s="245"/>
      <c r="G57" s="163">
        <f>+Sayfa1!E55*Sayfa1!$A$1</f>
        <v>484910.98112250771</v>
      </c>
      <c r="H57" s="244"/>
      <c r="I57" s="244"/>
      <c r="J57" s="244"/>
      <c r="K57" s="245"/>
      <c r="L57" s="245"/>
      <c r="M57" s="245"/>
      <c r="N57" s="152">
        <v>40352</v>
      </c>
      <c r="O57" s="152">
        <v>40777</v>
      </c>
      <c r="Q57" s="23"/>
      <c r="R57" s="23"/>
    </row>
    <row r="58" spans="1:18" x14ac:dyDescent="0.25">
      <c r="A58" s="245"/>
      <c r="B58" s="245"/>
      <c r="C58" s="155" t="s">
        <v>153</v>
      </c>
      <c r="D58" s="154" t="s">
        <v>150</v>
      </c>
      <c r="E58" s="245"/>
      <c r="F58" s="245"/>
      <c r="G58" s="163">
        <f>+Sayfa1!E56*Sayfa1!$A$1</f>
        <v>753899.95450040337</v>
      </c>
      <c r="H58" s="244"/>
      <c r="I58" s="244"/>
      <c r="J58" s="244"/>
      <c r="K58" s="245"/>
      <c r="L58" s="245"/>
      <c r="M58" s="301"/>
      <c r="N58" s="152">
        <v>40347</v>
      </c>
      <c r="O58" s="152">
        <v>40908</v>
      </c>
      <c r="Q58" s="23"/>
      <c r="R58" s="23"/>
    </row>
    <row r="59" spans="1:18" x14ac:dyDescent="0.25">
      <c r="A59" s="245"/>
      <c r="B59" s="245"/>
      <c r="C59" s="155" t="s">
        <v>156</v>
      </c>
      <c r="D59" s="154" t="s">
        <v>151</v>
      </c>
      <c r="E59" s="245"/>
      <c r="F59" s="245"/>
      <c r="G59" s="163">
        <f>+Sayfa1!E57*Sayfa1!$A$1</f>
        <v>990696.82034804649</v>
      </c>
      <c r="H59" s="244"/>
      <c r="I59" s="244"/>
      <c r="J59" s="244"/>
      <c r="K59" s="245"/>
      <c r="L59" s="245"/>
      <c r="M59" s="245"/>
      <c r="N59" s="152">
        <v>40359</v>
      </c>
      <c r="O59" s="152">
        <v>40763</v>
      </c>
      <c r="Q59" s="23"/>
      <c r="R59" s="23"/>
    </row>
    <row r="60" spans="1:18" x14ac:dyDescent="0.25">
      <c r="A60" s="245"/>
      <c r="B60" s="245"/>
      <c r="C60" s="155" t="s">
        <v>154</v>
      </c>
      <c r="D60" s="154" t="s">
        <v>152</v>
      </c>
      <c r="E60" s="245"/>
      <c r="F60" s="245"/>
      <c r="G60" s="163">
        <f>+Sayfa1!E58*Sayfa1!$A$1</f>
        <v>509014.40560562408</v>
      </c>
      <c r="H60" s="244"/>
      <c r="I60" s="244"/>
      <c r="J60" s="244"/>
      <c r="K60" s="245"/>
      <c r="L60" s="245"/>
      <c r="M60" s="301"/>
      <c r="N60" s="152">
        <v>40359</v>
      </c>
      <c r="O60" s="152">
        <v>40899</v>
      </c>
      <c r="Q60" s="23"/>
      <c r="R60" s="23"/>
    </row>
    <row r="61" spans="1:18" x14ac:dyDescent="0.25">
      <c r="A61" s="245"/>
      <c r="B61" s="245"/>
      <c r="C61" s="155" t="s">
        <v>168</v>
      </c>
      <c r="D61" s="154" t="s">
        <v>165</v>
      </c>
      <c r="E61" s="245"/>
      <c r="F61" s="245"/>
      <c r="G61" s="163">
        <f>+Sayfa1!E59*Sayfa1!$A$1</f>
        <v>455602.93967961275</v>
      </c>
      <c r="H61" s="244"/>
      <c r="I61" s="244"/>
      <c r="J61" s="244"/>
      <c r="K61" s="245"/>
      <c r="L61" s="245"/>
      <c r="M61" s="301"/>
      <c r="N61" s="152">
        <v>40358</v>
      </c>
      <c r="O61" s="152">
        <v>40844</v>
      </c>
      <c r="Q61" s="23"/>
      <c r="R61" s="23"/>
    </row>
    <row r="62" spans="1:18" x14ac:dyDescent="0.25">
      <c r="A62" s="245"/>
      <c r="B62" s="245"/>
      <c r="C62" s="155" t="s">
        <v>169</v>
      </c>
      <c r="D62" s="154" t="s">
        <v>166</v>
      </c>
      <c r="E62" s="245"/>
      <c r="F62" s="245"/>
      <c r="G62" s="163">
        <f>+Sayfa1!E60*Sayfa1!$A$1</f>
        <v>853133.29922323371</v>
      </c>
      <c r="H62" s="244"/>
      <c r="I62" s="244"/>
      <c r="J62" s="244"/>
      <c r="K62" s="245"/>
      <c r="L62" s="245"/>
      <c r="M62" s="245"/>
      <c r="N62" s="152">
        <v>40359</v>
      </c>
      <c r="O62" s="152">
        <f>+N62+510</f>
        <v>40869</v>
      </c>
      <c r="Q62" s="23"/>
      <c r="R62" s="23"/>
    </row>
    <row r="63" spans="1:18" ht="18.600000000000001" x14ac:dyDescent="0.25">
      <c r="A63" s="245"/>
      <c r="B63" s="245"/>
      <c r="C63" s="155" t="s">
        <v>170</v>
      </c>
      <c r="D63" s="154" t="s">
        <v>167</v>
      </c>
      <c r="E63" s="245"/>
      <c r="F63" s="245"/>
      <c r="G63" s="163">
        <f>+Sayfa1!E61*Sayfa1!$A$1</f>
        <v>692979.3120110638</v>
      </c>
      <c r="H63" s="244">
        <f>SUM(G56:G71)</f>
        <v>12056828.926578311</v>
      </c>
      <c r="I63" s="244">
        <f>+H63</f>
        <v>12056828.926578311</v>
      </c>
      <c r="J63" s="244">
        <f>SUM(Sayfa1!E54:E69)</f>
        <v>9024940.0099999979</v>
      </c>
      <c r="K63" s="245" t="s">
        <v>11</v>
      </c>
      <c r="L63" s="245" t="s">
        <v>310</v>
      </c>
      <c r="M63" s="301">
        <v>40290</v>
      </c>
      <c r="N63" s="152">
        <v>40350</v>
      </c>
      <c r="O63" s="152">
        <v>40867</v>
      </c>
      <c r="Q63" s="23"/>
      <c r="R63" s="23"/>
    </row>
    <row r="64" spans="1:18" x14ac:dyDescent="0.25">
      <c r="A64" s="245"/>
      <c r="B64" s="245"/>
      <c r="C64" s="155" t="s">
        <v>160</v>
      </c>
      <c r="D64" s="154" t="s">
        <v>157</v>
      </c>
      <c r="E64" s="245" t="s">
        <v>20</v>
      </c>
      <c r="F64" s="245">
        <v>16</v>
      </c>
      <c r="G64" s="163">
        <f>+Sayfa1!E62*Sayfa1!$A$1</f>
        <v>798361.84067304374</v>
      </c>
      <c r="H64" s="244"/>
      <c r="I64" s="244"/>
      <c r="J64" s="244"/>
      <c r="K64" s="245"/>
      <c r="L64" s="245"/>
      <c r="M64" s="301"/>
      <c r="N64" s="152">
        <v>40365</v>
      </c>
      <c r="O64" s="152">
        <v>40881</v>
      </c>
      <c r="Q64" s="23"/>
      <c r="R64" s="23"/>
    </row>
    <row r="65" spans="1:20" x14ac:dyDescent="0.25">
      <c r="A65" s="245"/>
      <c r="B65" s="245"/>
      <c r="C65" s="155" t="s">
        <v>161</v>
      </c>
      <c r="D65" s="154" t="s">
        <v>158</v>
      </c>
      <c r="E65" s="245"/>
      <c r="F65" s="245"/>
      <c r="G65" s="163">
        <f>+Sayfa1!E63*Sayfa1!$A$1</f>
        <v>1221141.3717275555</v>
      </c>
      <c r="H65" s="244"/>
      <c r="I65" s="244"/>
      <c r="J65" s="244"/>
      <c r="K65" s="245"/>
      <c r="L65" s="245"/>
      <c r="M65" s="245"/>
      <c r="N65" s="152">
        <v>40361</v>
      </c>
      <c r="O65" s="152">
        <v>40862</v>
      </c>
      <c r="Q65" s="23"/>
      <c r="R65" s="23"/>
    </row>
    <row r="66" spans="1:20" x14ac:dyDescent="0.25">
      <c r="A66" s="245"/>
      <c r="B66" s="245"/>
      <c r="C66" s="155" t="s">
        <v>162</v>
      </c>
      <c r="D66" s="154" t="s">
        <v>159</v>
      </c>
      <c r="E66" s="245"/>
      <c r="F66" s="245"/>
      <c r="G66" s="163">
        <f>+Sayfa1!E64*Sayfa1!$A$1</f>
        <v>293149.54961392184</v>
      </c>
      <c r="H66" s="244"/>
      <c r="I66" s="244"/>
      <c r="J66" s="244"/>
      <c r="K66" s="245"/>
      <c r="L66" s="245"/>
      <c r="M66" s="301"/>
      <c r="N66" s="152">
        <v>40352</v>
      </c>
      <c r="O66" s="152">
        <v>40841</v>
      </c>
      <c r="Q66" s="23"/>
      <c r="R66" s="23"/>
    </row>
    <row r="67" spans="1:20" x14ac:dyDescent="0.25">
      <c r="A67" s="245"/>
      <c r="B67" s="245"/>
      <c r="C67" s="155" t="s">
        <v>107</v>
      </c>
      <c r="D67" s="154" t="s">
        <v>102</v>
      </c>
      <c r="E67" s="245"/>
      <c r="F67" s="245"/>
      <c r="G67" s="163">
        <f>+Sayfa1!E65*Sayfa1!$A$1</f>
        <v>610344.30320156738</v>
      </c>
      <c r="H67" s="244"/>
      <c r="I67" s="244"/>
      <c r="J67" s="244"/>
      <c r="K67" s="245"/>
      <c r="L67" s="245"/>
      <c r="M67" s="301"/>
      <c r="N67" s="152">
        <v>40358</v>
      </c>
      <c r="O67" s="152">
        <v>40852</v>
      </c>
      <c r="Q67" s="23"/>
      <c r="R67" s="23"/>
    </row>
    <row r="68" spans="1:20" x14ac:dyDescent="0.25">
      <c r="A68" s="245"/>
      <c r="B68" s="245"/>
      <c r="C68" s="155" t="s">
        <v>174</v>
      </c>
      <c r="D68" s="154" t="s">
        <v>173</v>
      </c>
      <c r="E68" s="245"/>
      <c r="F68" s="245"/>
      <c r="G68" s="163">
        <f>+Sayfa1!E66*Sayfa1!$A$1</f>
        <v>1295788.4812262303</v>
      </c>
      <c r="H68" s="244"/>
      <c r="I68" s="244"/>
      <c r="J68" s="244"/>
      <c r="K68" s="245"/>
      <c r="L68" s="245"/>
      <c r="M68" s="301"/>
      <c r="N68" s="152">
        <v>40359</v>
      </c>
      <c r="O68" s="152">
        <v>40948</v>
      </c>
      <c r="Q68" s="23"/>
      <c r="R68" s="23"/>
    </row>
    <row r="69" spans="1:20" x14ac:dyDescent="0.25">
      <c r="A69" s="245"/>
      <c r="B69" s="245"/>
      <c r="C69" s="155" t="s">
        <v>172</v>
      </c>
      <c r="D69" s="154" t="s">
        <v>171</v>
      </c>
      <c r="E69" s="245"/>
      <c r="F69" s="245"/>
      <c r="G69" s="163">
        <f>+Sayfa1!E67*Sayfa1!$A$1</f>
        <v>892579.92536590982</v>
      </c>
      <c r="H69" s="244"/>
      <c r="I69" s="244"/>
      <c r="J69" s="244"/>
      <c r="K69" s="245"/>
      <c r="L69" s="245"/>
      <c r="M69" s="245"/>
      <c r="N69" s="152">
        <v>40360</v>
      </c>
      <c r="O69" s="152">
        <v>40847</v>
      </c>
      <c r="Q69" s="23"/>
      <c r="R69" s="23"/>
    </row>
    <row r="70" spans="1:20" x14ac:dyDescent="0.25">
      <c r="A70" s="245"/>
      <c r="B70" s="245"/>
      <c r="C70" s="155" t="s">
        <v>111</v>
      </c>
      <c r="D70" s="154" t="s">
        <v>108</v>
      </c>
      <c r="E70" s="245"/>
      <c r="F70" s="245"/>
      <c r="G70" s="163">
        <f>+Sayfa1!E68*Sayfa1!$A$1</f>
        <v>622137.56340670737</v>
      </c>
      <c r="H70" s="244"/>
      <c r="I70" s="244"/>
      <c r="J70" s="244"/>
      <c r="K70" s="245"/>
      <c r="L70" s="245"/>
      <c r="M70" s="245"/>
      <c r="N70" s="152">
        <v>40361</v>
      </c>
      <c r="O70" s="152">
        <f>+N70+510</f>
        <v>40871</v>
      </c>
      <c r="Q70" s="23"/>
      <c r="R70" s="23"/>
    </row>
    <row r="71" spans="1:20" x14ac:dyDescent="0.25">
      <c r="A71" s="247"/>
      <c r="B71" s="247"/>
      <c r="C71" s="155" t="s">
        <v>164</v>
      </c>
      <c r="D71" s="154" t="s">
        <v>163</v>
      </c>
      <c r="E71" s="247"/>
      <c r="F71" s="247"/>
      <c r="G71" s="163">
        <f>+Sayfa1!E69*Sayfa1!$A$1</f>
        <v>704488.48338365788</v>
      </c>
      <c r="H71" s="246"/>
      <c r="I71" s="246"/>
      <c r="J71" s="246"/>
      <c r="K71" s="247"/>
      <c r="L71" s="247"/>
      <c r="M71" s="247"/>
      <c r="N71" s="152">
        <v>40367</v>
      </c>
      <c r="O71" s="152">
        <v>40851</v>
      </c>
      <c r="Q71" s="23"/>
      <c r="R71" s="23"/>
    </row>
    <row r="72" spans="1:20" s="195" customFormat="1" x14ac:dyDescent="0.25">
      <c r="A72" s="199"/>
      <c r="B72" s="200"/>
      <c r="C72" s="201"/>
      <c r="D72" s="201"/>
      <c r="E72" s="193"/>
      <c r="F72" s="193"/>
      <c r="G72" s="275"/>
      <c r="H72" s="274"/>
      <c r="I72" s="274"/>
      <c r="J72" s="424"/>
      <c r="K72" s="193"/>
      <c r="L72" s="193"/>
      <c r="M72" s="183"/>
      <c r="N72" s="183"/>
      <c r="O72" s="194"/>
      <c r="Q72" s="23"/>
      <c r="R72" s="23"/>
    </row>
    <row r="73" spans="1:20" s="195" customFormat="1" x14ac:dyDescent="0.25">
      <c r="A73" s="202">
        <v>1.1000000000000001</v>
      </c>
      <c r="B73" s="203" t="s">
        <v>78</v>
      </c>
      <c r="C73" s="582" t="s">
        <v>252</v>
      </c>
      <c r="D73" s="583"/>
      <c r="E73" s="204"/>
      <c r="F73" s="193"/>
      <c r="G73" s="273"/>
      <c r="H73" s="274"/>
      <c r="I73" s="274"/>
      <c r="J73" s="274"/>
      <c r="K73" s="193"/>
      <c r="L73" s="193"/>
      <c r="M73" s="183"/>
      <c r="N73" s="183"/>
      <c r="O73" s="194"/>
      <c r="Q73" s="23"/>
      <c r="R73" s="23"/>
    </row>
    <row r="74" spans="1:20" x14ac:dyDescent="0.25">
      <c r="A74" s="245"/>
      <c r="B74" s="245"/>
      <c r="C74" s="155" t="s">
        <v>255</v>
      </c>
      <c r="D74" s="154"/>
      <c r="E74" s="245"/>
      <c r="F74" s="245"/>
      <c r="G74" s="163">
        <f>+Sayfa1!E72*Sayfa1!$A$1</f>
        <v>703610.56673043687</v>
      </c>
      <c r="H74" s="244"/>
      <c r="I74" s="244"/>
      <c r="J74" s="244"/>
      <c r="K74" s="245"/>
      <c r="L74" s="245"/>
      <c r="M74" s="301"/>
      <c r="N74" s="152">
        <v>40535</v>
      </c>
      <c r="O74" s="152">
        <v>41060</v>
      </c>
      <c r="Q74" s="23"/>
      <c r="R74" s="23"/>
    </row>
    <row r="75" spans="1:20" x14ac:dyDescent="0.25">
      <c r="A75" s="245"/>
      <c r="B75" s="245"/>
      <c r="C75" s="155" t="s">
        <v>256</v>
      </c>
      <c r="D75" s="154"/>
      <c r="E75" s="245"/>
      <c r="F75" s="245"/>
      <c r="G75" s="163">
        <f>+Sayfa1!E73*Sayfa1!$A$1</f>
        <v>462835.28159502131</v>
      </c>
      <c r="H75" s="244"/>
      <c r="I75" s="244"/>
      <c r="J75" s="244"/>
      <c r="K75" s="245"/>
      <c r="L75" s="245"/>
      <c r="M75" s="301"/>
      <c r="N75" s="152">
        <v>40515</v>
      </c>
      <c r="O75" s="152">
        <v>40924</v>
      </c>
      <c r="Q75" s="23"/>
      <c r="R75" s="23"/>
    </row>
    <row r="76" spans="1:20" x14ac:dyDescent="0.25">
      <c r="A76" s="245"/>
      <c r="B76" s="245"/>
      <c r="C76" s="155" t="s">
        <v>257</v>
      </c>
      <c r="D76" s="154"/>
      <c r="E76" s="245"/>
      <c r="F76" s="245"/>
      <c r="G76" s="163">
        <f>+Sayfa1!E74*Sayfa1!$A$1</f>
        <v>701304.72461910802</v>
      </c>
      <c r="H76" s="244"/>
      <c r="I76" s="244"/>
      <c r="J76" s="244"/>
      <c r="K76" s="245"/>
      <c r="L76" s="245"/>
      <c r="M76" s="301"/>
      <c r="N76" s="152">
        <v>40535</v>
      </c>
      <c r="O76" s="152">
        <v>41064</v>
      </c>
      <c r="Q76" s="23"/>
      <c r="R76" s="23"/>
    </row>
    <row r="77" spans="1:20" x14ac:dyDescent="0.25">
      <c r="A77" s="245"/>
      <c r="B77" s="245"/>
      <c r="C77" s="155" t="s">
        <v>258</v>
      </c>
      <c r="D77" s="154"/>
      <c r="E77" s="245"/>
      <c r="F77" s="245"/>
      <c r="G77" s="163">
        <f>+Sayfa1!E75*Sayfa1!$A$1</f>
        <v>553554.75186354737</v>
      </c>
      <c r="H77" s="244"/>
      <c r="I77" s="244"/>
      <c r="J77" s="244"/>
      <c r="K77" s="245"/>
      <c r="L77" s="245"/>
      <c r="M77" s="301"/>
      <c r="N77" s="152">
        <v>40527</v>
      </c>
      <c r="O77" s="152">
        <v>40905</v>
      </c>
      <c r="Q77" s="23"/>
      <c r="R77" s="23"/>
    </row>
    <row r="78" spans="1:20" x14ac:dyDescent="0.25">
      <c r="A78" s="245"/>
      <c r="B78" s="245"/>
      <c r="C78" s="155" t="s">
        <v>259</v>
      </c>
      <c r="D78" s="154"/>
      <c r="E78" s="245" t="s">
        <v>20</v>
      </c>
      <c r="F78" s="245">
        <v>12</v>
      </c>
      <c r="G78" s="163">
        <f>+Sayfa1!E76*Sayfa1!$A$1</f>
        <v>285386.86401290767</v>
      </c>
      <c r="H78" s="244">
        <f>SUM(G74:G85)</f>
        <v>6561852.1103330636</v>
      </c>
      <c r="I78" s="244">
        <f>+H78</f>
        <v>6561852.1103330636</v>
      </c>
      <c r="J78" s="244">
        <f>SUM(Sayfa1!E72:E83)</f>
        <v>4911765.9386956524</v>
      </c>
      <c r="K78" s="245" t="s">
        <v>11</v>
      </c>
      <c r="L78" s="245" t="s">
        <v>10</v>
      </c>
      <c r="M78" s="301">
        <v>40458</v>
      </c>
      <c r="N78" s="152">
        <v>40521</v>
      </c>
      <c r="O78" s="152">
        <v>40885</v>
      </c>
      <c r="Q78" s="23"/>
      <c r="R78" s="23"/>
      <c r="T78" s="23"/>
    </row>
    <row r="79" spans="1:20" x14ac:dyDescent="0.25">
      <c r="A79" s="245"/>
      <c r="B79" s="245"/>
      <c r="C79" s="155" t="s">
        <v>260</v>
      </c>
      <c r="D79" s="154"/>
      <c r="E79" s="245"/>
      <c r="F79" s="245"/>
      <c r="G79" s="163">
        <f>+Sayfa1!E77*Sayfa1!$A$1</f>
        <v>1057227.2587391955</v>
      </c>
      <c r="H79" s="244"/>
      <c r="I79" s="244"/>
      <c r="J79" s="244"/>
      <c r="K79" s="245"/>
      <c r="L79" s="245"/>
      <c r="M79" s="301"/>
      <c r="N79" s="152">
        <v>40529</v>
      </c>
      <c r="O79" s="152">
        <v>41129</v>
      </c>
      <c r="Q79" s="23"/>
      <c r="R79" s="23"/>
    </row>
    <row r="80" spans="1:20" x14ac:dyDescent="0.25">
      <c r="A80" s="245"/>
      <c r="B80" s="245"/>
      <c r="C80" s="155" t="s">
        <v>261</v>
      </c>
      <c r="D80" s="154"/>
      <c r="E80" s="245"/>
      <c r="F80" s="245"/>
      <c r="G80" s="163">
        <f>+Sayfa1!E78*Sayfa1!$A$1</f>
        <v>501189.70540970383</v>
      </c>
      <c r="H80" s="244"/>
      <c r="I80" s="244"/>
      <c r="J80" s="244"/>
      <c r="K80" s="245"/>
      <c r="L80" s="245"/>
      <c r="M80" s="301"/>
      <c r="N80" s="152">
        <v>40520</v>
      </c>
      <c r="O80" s="152">
        <v>41047</v>
      </c>
      <c r="Q80" s="23"/>
      <c r="R80" s="23"/>
    </row>
    <row r="81" spans="1:18" x14ac:dyDescent="0.25">
      <c r="A81" s="245"/>
      <c r="B81" s="245"/>
      <c r="C81" s="155" t="s">
        <v>262</v>
      </c>
      <c r="D81" s="154"/>
      <c r="E81" s="245"/>
      <c r="F81" s="245"/>
      <c r="G81" s="163">
        <f>+Sayfa1!E79*Sayfa1!$A$1</f>
        <v>487678.95353693672</v>
      </c>
      <c r="H81" s="244"/>
      <c r="I81" s="244"/>
      <c r="J81" s="244"/>
      <c r="K81" s="245"/>
      <c r="L81" s="245"/>
      <c r="M81" s="301"/>
      <c r="N81" s="152">
        <v>40528</v>
      </c>
      <c r="O81" s="152">
        <v>40953</v>
      </c>
      <c r="Q81" s="23"/>
      <c r="R81" s="23"/>
    </row>
    <row r="82" spans="1:18" x14ac:dyDescent="0.25">
      <c r="A82" s="245"/>
      <c r="B82" s="245"/>
      <c r="C82" s="155" t="s">
        <v>263</v>
      </c>
      <c r="D82" s="154"/>
      <c r="E82" s="245"/>
      <c r="F82" s="245"/>
      <c r="G82" s="163">
        <f>+Sayfa1!E80*Sayfa1!$A$1</f>
        <v>466082.83176212973</v>
      </c>
      <c r="H82" s="244"/>
      <c r="I82" s="244"/>
      <c r="J82" s="244"/>
      <c r="K82" s="245"/>
      <c r="L82" s="245"/>
      <c r="M82" s="301"/>
      <c r="N82" s="152">
        <v>40533</v>
      </c>
      <c r="O82" s="152">
        <v>41026</v>
      </c>
      <c r="Q82" s="23"/>
      <c r="R82" s="23"/>
    </row>
    <row r="83" spans="1:18" x14ac:dyDescent="0.25">
      <c r="A83" s="245"/>
      <c r="B83" s="245"/>
      <c r="C83" s="155" t="s">
        <v>266</v>
      </c>
      <c r="D83" s="154"/>
      <c r="E83" s="245"/>
      <c r="F83" s="245"/>
      <c r="G83" s="163">
        <f>+Sayfa1!E81*Sayfa1!$A$1</f>
        <v>357878.19816987438</v>
      </c>
      <c r="H83" s="244"/>
      <c r="I83" s="244"/>
      <c r="J83" s="244"/>
      <c r="K83" s="245"/>
      <c r="L83" s="245"/>
      <c r="M83" s="301"/>
      <c r="N83" s="152">
        <v>40518</v>
      </c>
      <c r="O83" s="152">
        <v>40975</v>
      </c>
      <c r="Q83" s="23"/>
      <c r="R83" s="23"/>
    </row>
    <row r="84" spans="1:18" s="243" customFormat="1" x14ac:dyDescent="0.25">
      <c r="A84" s="235"/>
      <c r="B84" s="236"/>
      <c r="C84" s="237" t="s">
        <v>264</v>
      </c>
      <c r="D84" s="238"/>
      <c r="E84" s="239"/>
      <c r="F84" s="239"/>
      <c r="G84" s="261">
        <f>+Sayfa1!E82*Sayfa1!$A$1</f>
        <v>426136.65373746684</v>
      </c>
      <c r="H84" s="262"/>
      <c r="I84" s="262"/>
      <c r="J84" s="262"/>
      <c r="K84" s="239"/>
      <c r="L84" s="239"/>
      <c r="M84" s="241"/>
      <c r="N84" s="242">
        <v>40514</v>
      </c>
      <c r="O84" s="242">
        <v>40951</v>
      </c>
      <c r="Q84" s="23"/>
      <c r="R84" s="23"/>
    </row>
    <row r="85" spans="1:18" x14ac:dyDescent="0.25">
      <c r="A85" s="245"/>
      <c r="B85" s="245"/>
      <c r="C85" s="155" t="s">
        <v>268</v>
      </c>
      <c r="D85" s="154"/>
      <c r="E85" s="245"/>
      <c r="F85" s="245"/>
      <c r="G85" s="163">
        <f>+Sayfa1!E83*Sayfa1!$A$1</f>
        <v>558966.32015673618</v>
      </c>
      <c r="H85" s="244"/>
      <c r="I85" s="244"/>
      <c r="J85" s="244"/>
      <c r="K85" s="245"/>
      <c r="L85" s="245"/>
      <c r="M85" s="301"/>
      <c r="N85" s="152">
        <v>40513</v>
      </c>
      <c r="O85" s="152">
        <v>40952</v>
      </c>
      <c r="Q85" s="23"/>
      <c r="R85" s="23"/>
    </row>
    <row r="86" spans="1:18" s="195" customFormat="1" x14ac:dyDescent="0.25">
      <c r="A86" s="199"/>
      <c r="B86" s="200"/>
      <c r="E86" s="204"/>
      <c r="F86" s="193"/>
      <c r="G86" s="273"/>
      <c r="H86" s="274"/>
      <c r="I86" s="274"/>
      <c r="J86" s="274"/>
      <c r="K86" s="193"/>
      <c r="L86" s="193"/>
      <c r="M86" s="183"/>
      <c r="N86" s="183"/>
      <c r="O86" s="194"/>
      <c r="Q86" s="23"/>
      <c r="R86" s="23"/>
    </row>
    <row r="87" spans="1:18" s="195" customFormat="1" x14ac:dyDescent="0.25">
      <c r="A87" s="202">
        <v>1.1000000000000001</v>
      </c>
      <c r="B87" s="203" t="s">
        <v>67</v>
      </c>
      <c r="C87" s="205" t="s">
        <v>253</v>
      </c>
      <c r="D87" s="192"/>
      <c r="E87" s="204"/>
      <c r="F87" s="193"/>
      <c r="G87" s="273"/>
      <c r="H87" s="274"/>
      <c r="I87" s="274"/>
      <c r="J87" s="274"/>
      <c r="K87" s="193"/>
      <c r="L87" s="193"/>
      <c r="M87" s="183"/>
      <c r="N87" s="183"/>
      <c r="O87" s="194"/>
      <c r="Q87" s="23"/>
      <c r="R87" s="23"/>
    </row>
    <row r="88" spans="1:18" x14ac:dyDescent="0.25">
      <c r="A88" s="245"/>
      <c r="B88" s="245"/>
      <c r="C88" s="155" t="s">
        <v>285</v>
      </c>
      <c r="D88" s="154"/>
      <c r="E88" s="245"/>
      <c r="F88" s="245"/>
      <c r="G88" s="163">
        <f>+Sayfa1!E86*Sayfa1!$A$1</f>
        <v>349019.97037685837</v>
      </c>
      <c r="H88" s="244"/>
      <c r="I88" s="244"/>
      <c r="J88" s="244"/>
      <c r="K88" s="245"/>
      <c r="L88" s="245"/>
      <c r="M88" s="301"/>
      <c r="N88" s="152">
        <v>40603</v>
      </c>
      <c r="O88" s="152">
        <v>41052</v>
      </c>
      <c r="Q88" s="23"/>
      <c r="R88" s="23"/>
    </row>
    <row r="89" spans="1:18" x14ac:dyDescent="0.25">
      <c r="A89" s="245"/>
      <c r="B89" s="245"/>
      <c r="C89" s="155" t="s">
        <v>280</v>
      </c>
      <c r="D89" s="154"/>
      <c r="E89" s="245"/>
      <c r="F89" s="245"/>
      <c r="G89" s="163">
        <f>+Sayfa1!E87*Sayfa1!$A$1</f>
        <v>300507.25666474586</v>
      </c>
      <c r="H89" s="244"/>
      <c r="I89" s="244"/>
      <c r="J89" s="244"/>
      <c r="K89" s="245"/>
      <c r="L89" s="245"/>
      <c r="M89" s="301"/>
      <c r="N89" s="152">
        <v>40595</v>
      </c>
      <c r="O89" s="152">
        <v>41005</v>
      </c>
      <c r="Q89" s="23"/>
      <c r="R89" s="23"/>
    </row>
    <row r="90" spans="1:18" x14ac:dyDescent="0.25">
      <c r="A90" s="245"/>
      <c r="B90" s="245"/>
      <c r="C90" s="155" t="s">
        <v>265</v>
      </c>
      <c r="D90" s="154"/>
      <c r="E90" s="245"/>
      <c r="F90" s="245"/>
      <c r="G90" s="163">
        <f>+Sayfa1!E88*Sayfa1!$A$1</f>
        <v>1019106.1311052208</v>
      </c>
      <c r="H90" s="244"/>
      <c r="I90" s="244"/>
      <c r="J90" s="244"/>
      <c r="K90" s="245"/>
      <c r="L90" s="245"/>
      <c r="M90" s="301"/>
      <c r="N90" s="152">
        <v>40603</v>
      </c>
      <c r="O90" s="152">
        <v>41152</v>
      </c>
      <c r="Q90" s="23"/>
      <c r="R90" s="23"/>
    </row>
    <row r="91" spans="1:18" s="243" customFormat="1" x14ac:dyDescent="0.25">
      <c r="A91" s="235"/>
      <c r="B91" s="236"/>
      <c r="C91" s="253" t="s">
        <v>267</v>
      </c>
      <c r="D91" s="254"/>
      <c r="E91" s="252" t="s">
        <v>20</v>
      </c>
      <c r="F91" s="239">
        <v>7</v>
      </c>
      <c r="G91" s="261">
        <f>+Sayfa1!E89*Sayfa1!$A$1</f>
        <v>1125060.6715961737</v>
      </c>
      <c r="H91" s="262">
        <f>SUM(G88:G94)</f>
        <v>4683804.81855019</v>
      </c>
      <c r="I91" s="262">
        <f>+H91</f>
        <v>4683804.81855019</v>
      </c>
      <c r="J91" s="262">
        <f>SUM(Sayfa1!E86:E92)</f>
        <v>3505984.6799999997</v>
      </c>
      <c r="K91" s="239" t="s">
        <v>11</v>
      </c>
      <c r="L91" s="239" t="s">
        <v>10</v>
      </c>
      <c r="M91" s="241">
        <f>+M78+60+24</f>
        <v>40542</v>
      </c>
      <c r="N91" s="242">
        <v>40603</v>
      </c>
      <c r="O91" s="242">
        <v>41031</v>
      </c>
      <c r="Q91" s="23"/>
      <c r="R91" s="23"/>
    </row>
    <row r="92" spans="1:18" x14ac:dyDescent="0.25">
      <c r="A92" s="245"/>
      <c r="B92" s="245"/>
      <c r="C92" s="155" t="s">
        <v>278</v>
      </c>
      <c r="D92" s="154"/>
      <c r="E92" s="245"/>
      <c r="F92" s="245"/>
      <c r="G92" s="163">
        <f>+Sayfa1!E90*Sayfa1!$A$1</f>
        <v>497848.6657692751</v>
      </c>
      <c r="H92" s="244"/>
      <c r="I92" s="244"/>
      <c r="J92" s="244"/>
      <c r="K92" s="245"/>
      <c r="L92" s="245"/>
      <c r="M92" s="301"/>
      <c r="N92" s="152">
        <v>40589</v>
      </c>
      <c r="O92" s="152">
        <v>41076</v>
      </c>
      <c r="Q92" s="23"/>
      <c r="R92" s="23"/>
    </row>
    <row r="93" spans="1:18" x14ac:dyDescent="0.25">
      <c r="A93" s="245"/>
      <c r="B93" s="245"/>
      <c r="C93" s="155" t="s">
        <v>286</v>
      </c>
      <c r="D93" s="154"/>
      <c r="E93" s="245"/>
      <c r="F93" s="245"/>
      <c r="G93" s="163">
        <f>+Sayfa1!E91*Sayfa1!$A$1</f>
        <v>505476.67469401867</v>
      </c>
      <c r="H93" s="244"/>
      <c r="I93" s="244"/>
      <c r="J93" s="244"/>
      <c r="K93" s="245"/>
      <c r="L93" s="245"/>
      <c r="M93" s="301"/>
      <c r="N93" s="152">
        <v>40604</v>
      </c>
      <c r="O93" s="152">
        <v>41262</v>
      </c>
      <c r="Q93" s="23"/>
      <c r="R93" s="23"/>
    </row>
    <row r="94" spans="1:18" x14ac:dyDescent="0.25">
      <c r="A94" s="247"/>
      <c r="B94" s="247"/>
      <c r="C94" s="155" t="s">
        <v>281</v>
      </c>
      <c r="D94" s="154"/>
      <c r="E94" s="247"/>
      <c r="F94" s="247"/>
      <c r="G94" s="163">
        <f>+Sayfa1!E92*Sayfa1!$A$1</f>
        <v>886785.44834389759</v>
      </c>
      <c r="H94" s="246"/>
      <c r="I94" s="246"/>
      <c r="J94" s="246"/>
      <c r="K94" s="247"/>
      <c r="L94" s="247"/>
      <c r="M94" s="425"/>
      <c r="N94" s="152">
        <v>40603</v>
      </c>
      <c r="O94" s="152">
        <v>41061</v>
      </c>
      <c r="Q94" s="23"/>
      <c r="R94" s="23"/>
    </row>
    <row r="95" spans="1:18" s="195" customFormat="1" x14ac:dyDescent="0.25">
      <c r="A95" s="206"/>
      <c r="B95" s="207"/>
      <c r="C95" s="208"/>
      <c r="D95" s="208"/>
      <c r="E95" s="209"/>
      <c r="F95" s="210"/>
      <c r="G95" s="276"/>
      <c r="H95" s="276"/>
      <c r="I95" s="276"/>
      <c r="J95" s="276"/>
      <c r="K95" s="210"/>
      <c r="L95" s="210"/>
      <c r="M95" s="182"/>
      <c r="N95" s="182"/>
      <c r="O95" s="211"/>
      <c r="Q95" s="23"/>
      <c r="R95" s="23"/>
    </row>
    <row r="96" spans="1:18" s="195" customFormat="1" x14ac:dyDescent="0.25">
      <c r="A96" s="206"/>
      <c r="B96" s="207"/>
      <c r="C96" s="212" t="s">
        <v>243</v>
      </c>
      <c r="D96" s="192"/>
      <c r="E96" s="209"/>
      <c r="F96" s="210"/>
      <c r="G96" s="274"/>
      <c r="H96" s="276"/>
      <c r="I96" s="276"/>
      <c r="J96" s="276"/>
      <c r="K96" s="210"/>
      <c r="L96" s="210"/>
      <c r="M96" s="182"/>
      <c r="N96" s="183"/>
      <c r="O96" s="194"/>
      <c r="Q96" s="23"/>
      <c r="R96" s="23"/>
    </row>
    <row r="97" spans="1:18" s="195" customFormat="1" x14ac:dyDescent="0.25">
      <c r="A97" s="199"/>
      <c r="B97" s="200"/>
      <c r="C97" s="192"/>
      <c r="D97" s="192"/>
      <c r="E97" s="204"/>
      <c r="F97" s="193"/>
      <c r="G97" s="273"/>
      <c r="H97" s="274"/>
      <c r="I97" s="274"/>
      <c r="J97" s="274"/>
      <c r="K97" s="193"/>
      <c r="L97" s="193"/>
      <c r="M97" s="183"/>
      <c r="N97" s="183"/>
      <c r="O97" s="194"/>
      <c r="Q97" s="23"/>
      <c r="R97" s="23"/>
    </row>
    <row r="98" spans="1:18" s="195" customFormat="1" x14ac:dyDescent="0.25">
      <c r="A98" s="202">
        <v>1.1000000000000001</v>
      </c>
      <c r="B98" s="203" t="s">
        <v>68</v>
      </c>
      <c r="C98" s="205" t="s">
        <v>284</v>
      </c>
      <c r="D98" s="192"/>
      <c r="E98" s="204"/>
      <c r="F98" s="193"/>
      <c r="G98" s="273"/>
      <c r="H98" s="274"/>
      <c r="I98" s="274"/>
      <c r="J98" s="274"/>
      <c r="K98" s="193"/>
      <c r="L98" s="193"/>
      <c r="M98" s="183"/>
      <c r="N98" s="183"/>
      <c r="O98" s="194"/>
      <c r="Q98" s="23"/>
      <c r="R98" s="23"/>
    </row>
    <row r="99" spans="1:18" s="243" customFormat="1" x14ac:dyDescent="0.25">
      <c r="A99" s="248"/>
      <c r="B99" s="249"/>
      <c r="C99" s="237" t="s">
        <v>333</v>
      </c>
      <c r="D99" s="238"/>
      <c r="E99" s="239"/>
      <c r="F99" s="239"/>
      <c r="G99" s="261">
        <f>+Sayfa1!C97</f>
        <v>621468.3675675675</v>
      </c>
      <c r="H99" s="262"/>
      <c r="I99" s="262"/>
      <c r="J99" s="262"/>
      <c r="K99" s="239"/>
      <c r="L99" s="239"/>
      <c r="M99" s="241"/>
      <c r="N99" s="242">
        <v>40851</v>
      </c>
      <c r="O99" s="242">
        <v>41371</v>
      </c>
      <c r="Q99" s="23"/>
      <c r="R99" s="23"/>
    </row>
    <row r="100" spans="1:18" s="243" customFormat="1" x14ac:dyDescent="0.25">
      <c r="A100" s="235"/>
      <c r="B100" s="236"/>
      <c r="C100" s="237" t="s">
        <v>334</v>
      </c>
      <c r="D100" s="238"/>
      <c r="E100" s="239"/>
      <c r="F100" s="239"/>
      <c r="G100" s="261">
        <f>+Sayfa1!C98</f>
        <v>802965.76216216211</v>
      </c>
      <c r="H100" s="262"/>
      <c r="I100" s="262"/>
      <c r="J100" s="262"/>
      <c r="K100" s="239"/>
      <c r="L100" s="239"/>
      <c r="M100" s="241"/>
      <c r="N100" s="242">
        <v>40878</v>
      </c>
      <c r="O100" s="242">
        <v>41396</v>
      </c>
      <c r="Q100" s="23"/>
      <c r="R100" s="23"/>
    </row>
    <row r="101" spans="1:18" s="243" customFormat="1" x14ac:dyDescent="0.25">
      <c r="A101" s="235"/>
      <c r="B101" s="236"/>
      <c r="C101" s="237" t="s">
        <v>335</v>
      </c>
      <c r="D101" s="238"/>
      <c r="E101" s="239"/>
      <c r="F101" s="239"/>
      <c r="G101" s="261">
        <f>+Sayfa1!C99</f>
        <v>414131.07783783786</v>
      </c>
      <c r="H101" s="262"/>
      <c r="I101" s="262"/>
      <c r="J101" s="262"/>
      <c r="K101" s="239"/>
      <c r="L101" s="239"/>
      <c r="M101" s="241"/>
      <c r="N101" s="242">
        <v>40848</v>
      </c>
      <c r="O101" s="242">
        <v>41277</v>
      </c>
      <c r="Q101" s="23"/>
      <c r="R101" s="23"/>
    </row>
    <row r="102" spans="1:18" x14ac:dyDescent="0.25">
      <c r="A102" s="245"/>
      <c r="B102" s="245"/>
      <c r="C102" s="155" t="s">
        <v>336</v>
      </c>
      <c r="D102" s="154"/>
      <c r="E102" s="245"/>
      <c r="F102" s="245"/>
      <c r="G102" s="163">
        <f>+Sayfa1!C100</f>
        <v>692024.07567567565</v>
      </c>
      <c r="H102" s="244"/>
      <c r="I102" s="244"/>
      <c r="J102" s="244"/>
      <c r="K102" s="245"/>
      <c r="L102" s="245"/>
      <c r="M102" s="301"/>
      <c r="N102" s="152">
        <v>40848</v>
      </c>
      <c r="O102" s="152">
        <v>41242</v>
      </c>
      <c r="Q102" s="23"/>
      <c r="R102" s="23"/>
    </row>
    <row r="103" spans="1:18" s="243" customFormat="1" x14ac:dyDescent="0.25">
      <c r="A103" s="235"/>
      <c r="B103" s="236"/>
      <c r="C103" s="237" t="s">
        <v>337</v>
      </c>
      <c r="D103" s="238"/>
      <c r="E103" s="239" t="s">
        <v>20</v>
      </c>
      <c r="F103" s="239">
        <v>10</v>
      </c>
      <c r="G103" s="261">
        <f>+Sayfa1!C101</f>
        <v>396322.45405405399</v>
      </c>
      <c r="H103" s="262">
        <f>SUM(G99:G108)</f>
        <v>7069291.4681081083</v>
      </c>
      <c r="I103" s="262">
        <f>+H103</f>
        <v>7069291.4681081083</v>
      </c>
      <c r="J103" s="262">
        <f>+I103/Sayfa1!A1</f>
        <v>5291601.2826754712</v>
      </c>
      <c r="K103" s="239" t="s">
        <v>11</v>
      </c>
      <c r="L103" s="239" t="s">
        <v>10</v>
      </c>
      <c r="M103" s="241">
        <f>+M91+60+60+60+10+30+16</f>
        <v>40778</v>
      </c>
      <c r="N103" s="242">
        <v>40863</v>
      </c>
      <c r="O103" s="242">
        <v>41352</v>
      </c>
      <c r="Q103" s="23"/>
      <c r="R103" s="23"/>
    </row>
    <row r="104" spans="1:18" s="243" customFormat="1" x14ac:dyDescent="0.25">
      <c r="A104" s="235"/>
      <c r="B104" s="236"/>
      <c r="C104" s="237" t="s">
        <v>338</v>
      </c>
      <c r="D104" s="238"/>
      <c r="E104" s="239"/>
      <c r="F104" s="239"/>
      <c r="G104" s="261">
        <f>+Sayfa1!C102</f>
        <v>585946.47675675678</v>
      </c>
      <c r="H104" s="262"/>
      <c r="I104" s="262"/>
      <c r="J104" s="262"/>
      <c r="K104" s="239"/>
      <c r="L104" s="239"/>
      <c r="M104" s="241"/>
      <c r="N104" s="242">
        <v>40863</v>
      </c>
      <c r="O104" s="242">
        <v>41352</v>
      </c>
      <c r="Q104" s="23"/>
      <c r="R104" s="23"/>
    </row>
    <row r="105" spans="1:18" s="243" customFormat="1" x14ac:dyDescent="0.25">
      <c r="A105" s="235"/>
      <c r="B105" s="236"/>
      <c r="C105" s="237" t="s">
        <v>339</v>
      </c>
      <c r="D105" s="238"/>
      <c r="E105" s="239"/>
      <c r="F105" s="239"/>
      <c r="G105" s="261">
        <f>+Sayfa1!C103</f>
        <v>915713.16756756743</v>
      </c>
      <c r="H105" s="262"/>
      <c r="I105" s="262"/>
      <c r="J105" s="262"/>
      <c r="K105" s="239"/>
      <c r="L105" s="239"/>
      <c r="M105" s="241"/>
      <c r="N105" s="242">
        <v>40865</v>
      </c>
      <c r="O105" s="242">
        <v>41355</v>
      </c>
      <c r="Q105" s="23"/>
      <c r="R105" s="23"/>
    </row>
    <row r="106" spans="1:18" s="243" customFormat="1" x14ac:dyDescent="0.25">
      <c r="A106" s="235"/>
      <c r="B106" s="236"/>
      <c r="C106" s="237" t="s">
        <v>287</v>
      </c>
      <c r="D106" s="238"/>
      <c r="E106" s="239"/>
      <c r="F106" s="239"/>
      <c r="G106" s="261">
        <f>+Sayfa1!C104</f>
        <v>1114557.2</v>
      </c>
      <c r="H106" s="262"/>
      <c r="I106" s="262"/>
      <c r="J106" s="262"/>
      <c r="K106" s="239"/>
      <c r="L106" s="239"/>
      <c r="M106" s="241"/>
      <c r="N106" s="242">
        <v>40870</v>
      </c>
      <c r="O106" s="242">
        <v>41352</v>
      </c>
      <c r="Q106" s="23"/>
      <c r="R106" s="23"/>
    </row>
    <row r="107" spans="1:18" s="243" customFormat="1" x14ac:dyDescent="0.25">
      <c r="A107" s="235"/>
      <c r="B107" s="236"/>
      <c r="C107" s="237" t="s">
        <v>340</v>
      </c>
      <c r="D107" s="238"/>
      <c r="E107" s="239"/>
      <c r="F107" s="239"/>
      <c r="G107" s="261">
        <f>+Sayfa1!C105</f>
        <v>906003.99999999988</v>
      </c>
      <c r="H107" s="262"/>
      <c r="I107" s="262"/>
      <c r="J107" s="262"/>
      <c r="K107" s="239"/>
      <c r="L107" s="239"/>
      <c r="M107" s="241"/>
      <c r="N107" s="242">
        <v>40863</v>
      </c>
      <c r="O107" s="242">
        <v>41345</v>
      </c>
      <c r="Q107" s="23"/>
      <c r="R107" s="23"/>
    </row>
    <row r="108" spans="1:18" s="243" customFormat="1" x14ac:dyDescent="0.25">
      <c r="A108" s="250"/>
      <c r="B108" s="251"/>
      <c r="C108" s="237" t="s">
        <v>341</v>
      </c>
      <c r="D108" s="238"/>
      <c r="E108" s="239"/>
      <c r="F108" s="239"/>
      <c r="G108" s="261">
        <f>+Sayfa1!C106</f>
        <v>620158.88648648642</v>
      </c>
      <c r="H108" s="262"/>
      <c r="I108" s="262"/>
      <c r="J108" s="262"/>
      <c r="K108" s="239"/>
      <c r="L108" s="239"/>
      <c r="M108" s="241"/>
      <c r="N108" s="242">
        <v>40850</v>
      </c>
      <c r="O108" s="242">
        <v>41278</v>
      </c>
      <c r="Q108" s="23"/>
      <c r="R108" s="23"/>
    </row>
    <row r="109" spans="1:18" s="195" customFormat="1" x14ac:dyDescent="0.25">
      <c r="E109" s="204"/>
      <c r="F109" s="193"/>
      <c r="G109" s="273"/>
      <c r="H109" s="274"/>
      <c r="I109" s="274"/>
      <c r="J109" s="274"/>
      <c r="K109" s="193"/>
      <c r="L109" s="193"/>
      <c r="M109" s="183"/>
      <c r="N109" s="183"/>
      <c r="O109" s="194"/>
      <c r="Q109" s="23"/>
      <c r="R109" s="23"/>
    </row>
    <row r="110" spans="1:18" s="195" customFormat="1" x14ac:dyDescent="0.25">
      <c r="A110" s="202">
        <v>1.1000000000000001</v>
      </c>
      <c r="B110" s="203" t="s">
        <v>245</v>
      </c>
      <c r="C110" s="205" t="s">
        <v>254</v>
      </c>
      <c r="D110" s="192"/>
      <c r="E110" s="204"/>
      <c r="F110" s="193"/>
      <c r="G110" s="273"/>
      <c r="H110" s="274"/>
      <c r="I110" s="274"/>
      <c r="J110" s="274"/>
      <c r="K110" s="184"/>
      <c r="L110" s="184"/>
      <c r="M110" s="184"/>
      <c r="N110" s="184"/>
      <c r="O110" s="213"/>
      <c r="Q110" s="23"/>
      <c r="R110" s="23"/>
    </row>
    <row r="111" spans="1:18" s="243" customFormat="1" x14ac:dyDescent="0.25">
      <c r="A111" s="248"/>
      <c r="B111" s="249"/>
      <c r="C111" s="237" t="s">
        <v>342</v>
      </c>
      <c r="D111" s="238"/>
      <c r="E111" s="239"/>
      <c r="F111" s="239"/>
      <c r="G111" s="261">
        <f>+Sayfa1!C109</f>
        <v>325388.18918918917</v>
      </c>
      <c r="H111" s="262"/>
      <c r="I111" s="262"/>
      <c r="J111" s="262"/>
      <c r="K111" s="239"/>
      <c r="L111" s="239"/>
      <c r="M111" s="241"/>
      <c r="N111" s="242">
        <v>40924</v>
      </c>
      <c r="O111" s="242">
        <v>41354</v>
      </c>
      <c r="Q111" s="23"/>
      <c r="R111" s="23"/>
    </row>
    <row r="112" spans="1:18" s="243" customFormat="1" x14ac:dyDescent="0.25">
      <c r="A112" s="235"/>
      <c r="B112" s="236"/>
      <c r="C112" s="237" t="s">
        <v>343</v>
      </c>
      <c r="D112" s="238"/>
      <c r="E112" s="239"/>
      <c r="F112" s="239"/>
      <c r="G112" s="261">
        <f>+Sayfa1!C110</f>
        <v>783628.30486486491</v>
      </c>
      <c r="H112" s="262"/>
      <c r="I112" s="262"/>
      <c r="J112" s="262"/>
      <c r="K112" s="239"/>
      <c r="L112" s="239"/>
      <c r="M112" s="241"/>
      <c r="N112" s="242">
        <v>40925</v>
      </c>
      <c r="O112" s="242">
        <v>41408</v>
      </c>
      <c r="Q112" s="23"/>
      <c r="R112" s="23"/>
    </row>
    <row r="113" spans="1:18" s="243" customFormat="1" x14ac:dyDescent="0.25">
      <c r="A113" s="235"/>
      <c r="B113" s="236"/>
      <c r="C113" s="237" t="s">
        <v>344</v>
      </c>
      <c r="D113" s="238"/>
      <c r="E113" s="239"/>
      <c r="F113" s="239"/>
      <c r="G113" s="261">
        <f>+Sayfa1!C111</f>
        <v>570603.98918918904</v>
      </c>
      <c r="H113" s="262"/>
      <c r="I113" s="262"/>
      <c r="J113" s="262"/>
      <c r="K113" s="239"/>
      <c r="L113" s="239"/>
      <c r="M113" s="241"/>
      <c r="N113" s="242">
        <v>40928</v>
      </c>
      <c r="O113" s="242">
        <v>41445</v>
      </c>
      <c r="Q113" s="23"/>
      <c r="R113" s="23"/>
    </row>
    <row r="114" spans="1:18" s="243" customFormat="1" x14ac:dyDescent="0.25">
      <c r="A114" s="235"/>
      <c r="B114" s="236"/>
      <c r="C114" s="237" t="s">
        <v>345</v>
      </c>
      <c r="D114" s="238"/>
      <c r="E114" s="239"/>
      <c r="F114" s="239"/>
      <c r="G114" s="261">
        <f>+Sayfa1!C112</f>
        <v>424142.38918918913</v>
      </c>
      <c r="H114" s="262"/>
      <c r="I114" s="262"/>
      <c r="J114" s="262"/>
      <c r="K114" s="239"/>
      <c r="L114" s="239"/>
      <c r="M114" s="241"/>
      <c r="N114" s="242">
        <v>40918</v>
      </c>
      <c r="O114" s="242">
        <v>41342</v>
      </c>
      <c r="Q114" s="23"/>
      <c r="R114" s="23"/>
    </row>
    <row r="115" spans="1:18" s="243" customFormat="1" x14ac:dyDescent="0.25">
      <c r="A115" s="235"/>
      <c r="B115" s="236"/>
      <c r="C115" s="237" t="s">
        <v>346</v>
      </c>
      <c r="D115" s="238"/>
      <c r="E115" s="239"/>
      <c r="F115" s="239"/>
      <c r="G115" s="261">
        <f>+Sayfa1!C113</f>
        <v>427098.12972972967</v>
      </c>
      <c r="H115" s="262"/>
      <c r="I115" s="262"/>
      <c r="J115" s="262"/>
      <c r="K115" s="239"/>
      <c r="L115" s="239"/>
      <c r="M115" s="241"/>
      <c r="N115" s="242">
        <v>40918</v>
      </c>
      <c r="O115" s="242">
        <v>41406</v>
      </c>
      <c r="Q115" s="23"/>
      <c r="R115" s="23"/>
    </row>
    <row r="116" spans="1:18" s="243" customFormat="1" x14ac:dyDescent="0.25">
      <c r="A116" s="235"/>
      <c r="B116" s="236"/>
      <c r="C116" s="237" t="s">
        <v>347</v>
      </c>
      <c r="D116" s="238"/>
      <c r="E116" s="239"/>
      <c r="F116" s="239"/>
      <c r="G116" s="261">
        <f>+Sayfa1!C114</f>
        <v>683736.96756756748</v>
      </c>
      <c r="H116" s="262"/>
      <c r="I116" s="262"/>
      <c r="J116" s="262"/>
      <c r="K116" s="239"/>
      <c r="L116" s="239"/>
      <c r="M116" s="241"/>
      <c r="N116" s="242">
        <v>40938</v>
      </c>
      <c r="O116" s="242">
        <v>41368</v>
      </c>
      <c r="Q116" s="23"/>
      <c r="R116" s="23"/>
    </row>
    <row r="117" spans="1:18" s="243" customFormat="1" x14ac:dyDescent="0.25">
      <c r="A117" s="235"/>
      <c r="B117" s="236"/>
      <c r="C117" s="237" t="s">
        <v>348</v>
      </c>
      <c r="D117" s="238"/>
      <c r="E117" s="239" t="s">
        <v>20</v>
      </c>
      <c r="F117" s="239">
        <v>12</v>
      </c>
      <c r="G117" s="261">
        <f>+Sayfa1!C115</f>
        <v>339042.06486486481</v>
      </c>
      <c r="H117" s="262">
        <f>SUM(G111:G122)</f>
        <v>6930021.8086486487</v>
      </c>
      <c r="I117" s="262">
        <f>+H117</f>
        <v>6930021.8086486487</v>
      </c>
      <c r="J117" s="262">
        <f>+I117/Sayfa1!A1</f>
        <v>5187353.2810252178</v>
      </c>
      <c r="K117" s="239" t="s">
        <v>11</v>
      </c>
      <c r="L117" s="239" t="s">
        <v>10</v>
      </c>
      <c r="M117" s="241">
        <f>+M103+45+30+8</f>
        <v>40861</v>
      </c>
      <c r="N117" s="242">
        <v>40924</v>
      </c>
      <c r="O117" s="242">
        <v>41353</v>
      </c>
      <c r="Q117" s="23"/>
      <c r="R117" s="23"/>
    </row>
    <row r="118" spans="1:18" s="243" customFormat="1" x14ac:dyDescent="0.25">
      <c r="A118" s="235"/>
      <c r="B118" s="236"/>
      <c r="C118" s="237" t="s">
        <v>349</v>
      </c>
      <c r="D118" s="238"/>
      <c r="E118" s="239"/>
      <c r="F118" s="239"/>
      <c r="G118" s="261">
        <f>+Sayfa1!C116</f>
        <v>816036.9729729729</v>
      </c>
      <c r="H118" s="262"/>
      <c r="I118" s="262"/>
      <c r="J118" s="262"/>
      <c r="K118" s="239"/>
      <c r="L118" s="239"/>
      <c r="M118" s="241"/>
      <c r="N118" s="242">
        <v>40928</v>
      </c>
      <c r="O118" s="242">
        <v>41428</v>
      </c>
      <c r="Q118" s="23"/>
      <c r="R118" s="23"/>
    </row>
    <row r="119" spans="1:18" s="243" customFormat="1" x14ac:dyDescent="0.25">
      <c r="A119" s="235"/>
      <c r="B119" s="236"/>
      <c r="C119" s="237" t="s">
        <v>350</v>
      </c>
      <c r="D119" s="238"/>
      <c r="E119" s="239"/>
      <c r="F119" s="239"/>
      <c r="G119" s="261">
        <f>+Sayfa1!C117</f>
        <v>605622.56216216215</v>
      </c>
      <c r="H119" s="262"/>
      <c r="I119" s="262"/>
      <c r="J119" s="262"/>
      <c r="K119" s="239"/>
      <c r="L119" s="239"/>
      <c r="M119" s="241"/>
      <c r="N119" s="242">
        <v>40928</v>
      </c>
      <c r="O119" s="242">
        <v>41358</v>
      </c>
      <c r="Q119" s="23"/>
      <c r="R119" s="23"/>
    </row>
    <row r="120" spans="1:18" s="243" customFormat="1" x14ac:dyDescent="0.25">
      <c r="A120" s="235"/>
      <c r="B120" s="236"/>
      <c r="C120" s="237" t="s">
        <v>351</v>
      </c>
      <c r="D120" s="238"/>
      <c r="E120" s="239"/>
      <c r="F120" s="239"/>
      <c r="G120" s="261">
        <f>+Sayfa1!C118</f>
        <v>795405.47027027013</v>
      </c>
      <c r="H120" s="262"/>
      <c r="I120" s="262"/>
      <c r="J120" s="262"/>
      <c r="K120" s="239"/>
      <c r="L120" s="239"/>
      <c r="M120" s="241"/>
      <c r="N120" s="242">
        <v>40928</v>
      </c>
      <c r="O120" s="242">
        <v>41418</v>
      </c>
      <c r="Q120" s="23"/>
      <c r="R120" s="23"/>
    </row>
    <row r="121" spans="1:18" s="243" customFormat="1" x14ac:dyDescent="0.25">
      <c r="A121" s="235"/>
      <c r="B121" s="236"/>
      <c r="C121" s="237" t="s">
        <v>352</v>
      </c>
      <c r="D121" s="238"/>
      <c r="E121" s="239"/>
      <c r="F121" s="239"/>
      <c r="G121" s="261">
        <f>+Sayfa1!C119</f>
        <v>596665.02270270267</v>
      </c>
      <c r="H121" s="262"/>
      <c r="I121" s="262"/>
      <c r="J121" s="262"/>
      <c r="K121" s="239"/>
      <c r="L121" s="239"/>
      <c r="M121" s="241"/>
      <c r="N121" s="242">
        <v>40919</v>
      </c>
      <c r="O121" s="242">
        <v>41405</v>
      </c>
      <c r="Q121" s="23"/>
      <c r="R121" s="23"/>
    </row>
    <row r="122" spans="1:18" s="243" customFormat="1" x14ac:dyDescent="0.25">
      <c r="A122" s="250"/>
      <c r="B122" s="251"/>
      <c r="C122" s="237" t="s">
        <v>353</v>
      </c>
      <c r="D122" s="238"/>
      <c r="E122" s="239"/>
      <c r="F122" s="239"/>
      <c r="G122" s="261">
        <f>+Sayfa1!C120</f>
        <v>562651.74594594596</v>
      </c>
      <c r="H122" s="262"/>
      <c r="I122" s="262"/>
      <c r="J122" s="262"/>
      <c r="K122" s="239"/>
      <c r="L122" s="239"/>
      <c r="M122" s="241"/>
      <c r="N122" s="242">
        <v>40932</v>
      </c>
      <c r="O122" s="242">
        <v>41421</v>
      </c>
      <c r="Q122" s="23"/>
      <c r="R122" s="23"/>
    </row>
    <row r="123" spans="1:18" s="195" customFormat="1" x14ac:dyDescent="0.25">
      <c r="A123" s="199"/>
      <c r="B123" s="200"/>
      <c r="C123" s="192"/>
      <c r="D123" s="192"/>
      <c r="E123" s="204"/>
      <c r="F123" s="193"/>
      <c r="G123" s="273"/>
      <c r="H123" s="274"/>
      <c r="I123" s="274"/>
      <c r="J123" s="274"/>
      <c r="K123" s="193"/>
      <c r="L123" s="193"/>
      <c r="M123" s="183"/>
      <c r="N123" s="183"/>
      <c r="O123" s="194"/>
      <c r="Q123" s="23"/>
      <c r="R123" s="23"/>
    </row>
    <row r="124" spans="1:18" s="195" customFormat="1" x14ac:dyDescent="0.25">
      <c r="A124" s="206"/>
      <c r="B124" s="207"/>
      <c r="C124" s="212" t="s">
        <v>288</v>
      </c>
      <c r="D124" s="192"/>
      <c r="E124" s="209"/>
      <c r="F124" s="210"/>
      <c r="G124" s="274"/>
      <c r="H124" s="276"/>
      <c r="I124" s="276"/>
      <c r="J124" s="276"/>
      <c r="K124" s="210"/>
      <c r="L124" s="214"/>
      <c r="M124" s="182"/>
      <c r="N124" s="183"/>
      <c r="O124" s="194"/>
      <c r="Q124" s="23"/>
      <c r="R124" s="23"/>
    </row>
    <row r="125" spans="1:18" s="195" customFormat="1" x14ac:dyDescent="0.25">
      <c r="A125" s="199"/>
      <c r="B125" s="200"/>
      <c r="C125" s="192"/>
      <c r="D125" s="192"/>
      <c r="E125" s="204"/>
      <c r="F125" s="193"/>
      <c r="G125" s="273"/>
      <c r="H125" s="274"/>
      <c r="I125" s="274"/>
      <c r="J125" s="274"/>
      <c r="K125" s="193"/>
      <c r="L125" s="312"/>
      <c r="M125" s="183"/>
      <c r="N125" s="183"/>
      <c r="O125" s="194"/>
      <c r="Q125" s="23"/>
      <c r="R125" s="23"/>
    </row>
    <row r="126" spans="1:18" s="195" customFormat="1" x14ac:dyDescent="0.25">
      <c r="A126" s="202">
        <v>1.1000000000000001</v>
      </c>
      <c r="B126" s="203" t="s">
        <v>246</v>
      </c>
      <c r="C126" s="205" t="s">
        <v>368</v>
      </c>
      <c r="D126" s="192"/>
      <c r="E126" s="204"/>
      <c r="F126" s="193"/>
      <c r="G126" s="273"/>
      <c r="H126" s="274"/>
      <c r="I126" s="274"/>
      <c r="J126" s="274"/>
      <c r="K126" s="184"/>
      <c r="L126" s="184"/>
      <c r="M126" s="184"/>
      <c r="N126" s="183"/>
      <c r="O126" s="194"/>
      <c r="Q126" s="23"/>
      <c r="R126" s="23"/>
    </row>
    <row r="127" spans="1:18" s="243" customFormat="1" x14ac:dyDescent="0.25">
      <c r="A127" s="248"/>
      <c r="B127" s="249"/>
      <c r="C127" s="237" t="s">
        <v>354</v>
      </c>
      <c r="D127" s="238"/>
      <c r="E127" s="239"/>
      <c r="F127" s="239"/>
      <c r="G127" s="261">
        <f>+Sayfa1!C125</f>
        <v>827778.92972972966</v>
      </c>
      <c r="H127" s="262"/>
      <c r="I127" s="262"/>
      <c r="J127" s="262"/>
      <c r="K127" s="239"/>
      <c r="L127" s="239"/>
      <c r="M127" s="241"/>
      <c r="N127" s="242">
        <v>41029</v>
      </c>
      <c r="O127" s="242">
        <v>41532</v>
      </c>
      <c r="Q127" s="23"/>
      <c r="R127" s="23"/>
    </row>
    <row r="128" spans="1:18" s="243" customFormat="1" x14ac:dyDescent="0.25">
      <c r="A128" s="235"/>
      <c r="B128" s="236"/>
      <c r="C128" s="237" t="s">
        <v>355</v>
      </c>
      <c r="D128" s="238"/>
      <c r="E128" s="239"/>
      <c r="F128" s="239"/>
      <c r="G128" s="261">
        <f>+Sayfa1!C126</f>
        <v>389081.08108108107</v>
      </c>
      <c r="H128" s="262"/>
      <c r="I128" s="262"/>
      <c r="J128" s="262"/>
      <c r="K128" s="239"/>
      <c r="L128" s="239"/>
      <c r="M128" s="241"/>
      <c r="N128" s="242">
        <v>41019</v>
      </c>
      <c r="O128" s="242">
        <v>41456</v>
      </c>
      <c r="Q128" s="23"/>
      <c r="R128" s="23"/>
    </row>
    <row r="129" spans="1:18" s="243" customFormat="1" x14ac:dyDescent="0.25">
      <c r="A129" s="235"/>
      <c r="B129" s="236"/>
      <c r="C129" s="237" t="s">
        <v>356</v>
      </c>
      <c r="D129" s="238"/>
      <c r="E129" s="239"/>
      <c r="F129" s="239"/>
      <c r="G129" s="261">
        <f>+Sayfa1!C127</f>
        <v>639818.96216216206</v>
      </c>
      <c r="H129" s="262"/>
      <c r="I129" s="262"/>
      <c r="J129" s="262"/>
      <c r="K129" s="239"/>
      <c r="L129" s="239"/>
      <c r="M129" s="241"/>
      <c r="N129" s="242">
        <v>41019</v>
      </c>
      <c r="O129" s="242">
        <v>41517</v>
      </c>
      <c r="Q129" s="23"/>
      <c r="R129" s="23"/>
    </row>
    <row r="130" spans="1:18" s="243" customFormat="1" x14ac:dyDescent="0.25">
      <c r="A130" s="235"/>
      <c r="B130" s="236"/>
      <c r="C130" s="237" t="s">
        <v>357</v>
      </c>
      <c r="D130" s="238"/>
      <c r="E130" s="239"/>
      <c r="F130" s="239"/>
      <c r="G130" s="261">
        <f>+Sayfa1!C128</f>
        <v>427357.72972972965</v>
      </c>
      <c r="H130" s="262"/>
      <c r="I130" s="262"/>
      <c r="J130" s="262"/>
      <c r="K130" s="239"/>
      <c r="L130" s="239"/>
      <c r="M130" s="241"/>
      <c r="N130" s="242">
        <v>41019</v>
      </c>
      <c r="O130" s="242">
        <v>41539</v>
      </c>
      <c r="Q130" s="23"/>
      <c r="R130" s="23"/>
    </row>
    <row r="131" spans="1:18" s="243" customFormat="1" x14ac:dyDescent="0.25">
      <c r="A131" s="235"/>
      <c r="B131" s="236"/>
      <c r="C131" s="237" t="s">
        <v>358</v>
      </c>
      <c r="D131" s="238"/>
      <c r="E131" s="239"/>
      <c r="F131" s="239"/>
      <c r="G131" s="261">
        <f>+Sayfa1!C129</f>
        <v>541578.54054054047</v>
      </c>
      <c r="H131" s="262"/>
      <c r="I131" s="262"/>
      <c r="J131" s="262"/>
      <c r="K131" s="239"/>
      <c r="L131" s="239"/>
      <c r="M131" s="241"/>
      <c r="N131" s="242">
        <v>41029</v>
      </c>
      <c r="O131" s="242">
        <v>41539</v>
      </c>
      <c r="Q131" s="23"/>
      <c r="R131" s="23"/>
    </row>
    <row r="132" spans="1:18" s="243" customFormat="1" x14ac:dyDescent="0.25">
      <c r="A132" s="235"/>
      <c r="B132" s="236"/>
      <c r="C132" s="237" t="s">
        <v>359</v>
      </c>
      <c r="D132" s="238"/>
      <c r="E132" s="239"/>
      <c r="F132" s="239"/>
      <c r="G132" s="261">
        <f>+Sayfa1!C130</f>
        <v>496845.18702702696</v>
      </c>
      <c r="H132" s="262"/>
      <c r="I132" s="262"/>
      <c r="J132" s="262"/>
      <c r="K132" s="239"/>
      <c r="L132" s="239"/>
      <c r="M132" s="241"/>
      <c r="N132" s="242">
        <v>41017</v>
      </c>
      <c r="O132" s="242">
        <v>41509</v>
      </c>
      <c r="Q132" s="23"/>
      <c r="R132" s="23"/>
    </row>
    <row r="133" spans="1:18" s="243" customFormat="1" x14ac:dyDescent="0.25">
      <c r="A133" s="235"/>
      <c r="B133" s="236"/>
      <c r="C133" s="237" t="s">
        <v>360</v>
      </c>
      <c r="D133" s="238"/>
      <c r="E133" s="239" t="s">
        <v>20</v>
      </c>
      <c r="F133" s="239">
        <v>14</v>
      </c>
      <c r="G133" s="261">
        <f>+Sayfa1!C131</f>
        <v>405032.12972972967</v>
      </c>
      <c r="H133" s="262">
        <f>SUM(G127:G140)</f>
        <v>6906999.2496216213</v>
      </c>
      <c r="I133" s="262">
        <f>+H133</f>
        <v>6906999.2496216213</v>
      </c>
      <c r="J133" s="262">
        <f>I133/Sayfa1!A1</f>
        <v>5170120.1249971371</v>
      </c>
      <c r="K133" s="239" t="s">
        <v>11</v>
      </c>
      <c r="L133" s="239" t="s">
        <v>10</v>
      </c>
      <c r="M133" s="241">
        <f>+M117+45+33</f>
        <v>40939</v>
      </c>
      <c r="N133" s="242">
        <v>41029</v>
      </c>
      <c r="O133" s="242">
        <v>41516</v>
      </c>
      <c r="Q133" s="23"/>
      <c r="R133" s="23"/>
    </row>
    <row r="134" spans="1:18" s="243" customFormat="1" x14ac:dyDescent="0.25">
      <c r="A134" s="235"/>
      <c r="B134" s="236"/>
      <c r="C134" s="237" t="s">
        <v>361</v>
      </c>
      <c r="D134" s="238"/>
      <c r="E134" s="239"/>
      <c r="F134" s="239"/>
      <c r="G134" s="261">
        <f>+Sayfa1!C132</f>
        <v>263612.6378378378</v>
      </c>
      <c r="H134" s="262"/>
      <c r="I134" s="262"/>
      <c r="J134" s="262"/>
      <c r="K134" s="239"/>
      <c r="L134" s="239"/>
      <c r="M134" s="241"/>
      <c r="N134" s="242">
        <v>41019</v>
      </c>
      <c r="O134" s="242">
        <v>41505</v>
      </c>
      <c r="Q134" s="23"/>
      <c r="R134" s="23"/>
    </row>
    <row r="135" spans="1:18" s="243" customFormat="1" x14ac:dyDescent="0.25">
      <c r="A135" s="235"/>
      <c r="B135" s="236"/>
      <c r="C135" s="237" t="s">
        <v>362</v>
      </c>
      <c r="D135" s="238"/>
      <c r="E135" s="239"/>
      <c r="F135" s="239"/>
      <c r="G135" s="261">
        <f>+Sayfa1!C133</f>
        <v>448537.45405405399</v>
      </c>
      <c r="H135" s="262"/>
      <c r="I135" s="262"/>
      <c r="J135" s="262"/>
      <c r="K135" s="239"/>
      <c r="L135" s="239"/>
      <c r="M135" s="241"/>
      <c r="N135" s="242">
        <v>41029</v>
      </c>
      <c r="O135" s="242">
        <v>41518</v>
      </c>
      <c r="Q135" s="23"/>
      <c r="R135" s="23"/>
    </row>
    <row r="136" spans="1:18" s="243" customFormat="1" x14ac:dyDescent="0.25">
      <c r="A136" s="235"/>
      <c r="B136" s="236"/>
      <c r="C136" s="237" t="s">
        <v>363</v>
      </c>
      <c r="D136" s="238"/>
      <c r="E136" s="239"/>
      <c r="F136" s="239"/>
      <c r="G136" s="261">
        <f>+Sayfa1!C134</f>
        <v>357839.78378378373</v>
      </c>
      <c r="H136" s="262"/>
      <c r="I136" s="262"/>
      <c r="J136" s="262"/>
      <c r="K136" s="239"/>
      <c r="L136" s="239"/>
      <c r="M136" s="241"/>
      <c r="N136" s="242">
        <v>41019</v>
      </c>
      <c r="O136" s="242">
        <v>41449</v>
      </c>
      <c r="Q136" s="23"/>
      <c r="R136" s="23"/>
    </row>
    <row r="137" spans="1:18" s="243" customFormat="1" x14ac:dyDescent="0.25">
      <c r="A137" s="235"/>
      <c r="B137" s="236"/>
      <c r="C137" s="237" t="s">
        <v>364</v>
      </c>
      <c r="D137" s="238"/>
      <c r="E137" s="239"/>
      <c r="F137" s="239"/>
      <c r="G137" s="261">
        <f>+Sayfa1!C135</f>
        <v>603371.63243243238</v>
      </c>
      <c r="H137" s="262"/>
      <c r="I137" s="262"/>
      <c r="J137" s="262"/>
      <c r="K137" s="239"/>
      <c r="L137" s="239"/>
      <c r="M137" s="241"/>
      <c r="N137" s="242">
        <v>41029</v>
      </c>
      <c r="O137" s="242">
        <v>41458</v>
      </c>
      <c r="Q137" s="23"/>
      <c r="R137" s="23"/>
    </row>
    <row r="138" spans="1:18" s="243" customFormat="1" x14ac:dyDescent="0.25">
      <c r="A138" s="235"/>
      <c r="B138" s="236"/>
      <c r="C138" s="237" t="s">
        <v>365</v>
      </c>
      <c r="D138" s="238"/>
      <c r="E138" s="239"/>
      <c r="F138" s="239"/>
      <c r="G138" s="261">
        <f>+Sayfa1!C136</f>
        <v>425898.73945945944</v>
      </c>
      <c r="H138" s="262"/>
      <c r="I138" s="262"/>
      <c r="J138" s="262"/>
      <c r="K138" s="239"/>
      <c r="L138" s="239"/>
      <c r="M138" s="241"/>
      <c r="N138" s="242">
        <v>41039</v>
      </c>
      <c r="O138" s="242">
        <v>41467</v>
      </c>
      <c r="Q138" s="23"/>
      <c r="R138" s="23"/>
    </row>
    <row r="139" spans="1:18" s="243" customFormat="1" x14ac:dyDescent="0.25">
      <c r="A139" s="235"/>
      <c r="B139" s="236"/>
      <c r="C139" s="237" t="s">
        <v>366</v>
      </c>
      <c r="D139" s="238"/>
      <c r="E139" s="239"/>
      <c r="F139" s="239"/>
      <c r="G139" s="261">
        <f>+Sayfa1!C137</f>
        <v>603807.09070270264</v>
      </c>
      <c r="H139" s="262"/>
      <c r="I139" s="262"/>
      <c r="J139" s="262"/>
      <c r="K139" s="239"/>
      <c r="L139" s="239"/>
      <c r="M139" s="241"/>
      <c r="N139" s="242">
        <v>41040</v>
      </c>
      <c r="O139" s="242">
        <v>41527</v>
      </c>
      <c r="Q139" s="23"/>
      <c r="R139" s="23"/>
    </row>
    <row r="140" spans="1:18" s="243" customFormat="1" x14ac:dyDescent="0.25">
      <c r="A140" s="250"/>
      <c r="B140" s="251"/>
      <c r="C140" s="237" t="s">
        <v>367</v>
      </c>
      <c r="D140" s="238"/>
      <c r="E140" s="239"/>
      <c r="F140" s="239"/>
      <c r="G140" s="261">
        <f>+Sayfa1!C138</f>
        <v>476439.3513513513</v>
      </c>
      <c r="H140" s="262"/>
      <c r="I140" s="262"/>
      <c r="J140" s="262"/>
      <c r="K140" s="239"/>
      <c r="L140" s="239"/>
      <c r="M140" s="241"/>
      <c r="N140" s="242">
        <v>41019</v>
      </c>
      <c r="O140" s="242">
        <v>41506</v>
      </c>
      <c r="Q140" s="23"/>
      <c r="R140" s="23"/>
    </row>
    <row r="141" spans="1:18" s="195" customFormat="1" x14ac:dyDescent="0.25">
      <c r="A141" s="199"/>
      <c r="B141" s="200"/>
      <c r="C141" s="187"/>
      <c r="D141" s="192"/>
      <c r="E141" s="204"/>
      <c r="F141" s="193"/>
      <c r="G141" s="274"/>
      <c r="H141" s="274"/>
      <c r="I141" s="274"/>
      <c r="J141" s="274"/>
      <c r="K141" s="193"/>
      <c r="L141" s="193"/>
      <c r="M141" s="183"/>
      <c r="N141" s="183"/>
      <c r="O141" s="194"/>
      <c r="Q141" s="23"/>
      <c r="R141" s="23"/>
    </row>
    <row r="142" spans="1:18" s="243" customFormat="1" x14ac:dyDescent="0.25">
      <c r="A142" s="248">
        <v>1.1000000000000001</v>
      </c>
      <c r="B142" s="249" t="s">
        <v>247</v>
      </c>
      <c r="C142" s="253" t="s">
        <v>289</v>
      </c>
      <c r="D142" s="432"/>
      <c r="E142" s="433"/>
      <c r="F142" s="433"/>
      <c r="G142" s="434"/>
      <c r="H142" s="434"/>
      <c r="I142" s="434"/>
      <c r="J142" s="434"/>
      <c r="K142" s="433"/>
      <c r="L142" s="433"/>
      <c r="M142" s="435"/>
      <c r="N142" s="435"/>
      <c r="O142" s="436"/>
      <c r="Q142" s="23"/>
      <c r="R142" s="23"/>
    </row>
    <row r="143" spans="1:18" s="243" customFormat="1" x14ac:dyDescent="0.25">
      <c r="A143" s="248"/>
      <c r="B143" s="249"/>
      <c r="C143" s="237" t="s">
        <v>418</v>
      </c>
      <c r="D143" s="238"/>
      <c r="E143" s="239"/>
      <c r="F143" s="239"/>
      <c r="G143" s="261">
        <f>+Sayfa1!C141</f>
        <v>716665.66486486478</v>
      </c>
      <c r="H143" s="262"/>
      <c r="I143" s="262"/>
      <c r="J143" s="262"/>
      <c r="K143" s="239"/>
      <c r="L143" s="239"/>
      <c r="M143" s="241"/>
      <c r="N143" s="242">
        <v>41095</v>
      </c>
      <c r="O143" s="242">
        <v>41582</v>
      </c>
      <c r="Q143" s="23"/>
      <c r="R143" s="23"/>
    </row>
    <row r="144" spans="1:18" s="243" customFormat="1" x14ac:dyDescent="0.25">
      <c r="A144" s="235"/>
      <c r="B144" s="236"/>
      <c r="C144" s="237" t="s">
        <v>419</v>
      </c>
      <c r="D144" s="238"/>
      <c r="E144" s="239"/>
      <c r="F144" s="239"/>
      <c r="G144" s="261">
        <f>+Sayfa1!C142</f>
        <v>399560.75675675669</v>
      </c>
      <c r="H144" s="262"/>
      <c r="I144" s="262"/>
      <c r="J144" s="262"/>
      <c r="K144" s="239"/>
      <c r="L144" s="239"/>
      <c r="M144" s="241"/>
      <c r="N144" s="242">
        <v>41089</v>
      </c>
      <c r="O144" s="242">
        <v>41579</v>
      </c>
      <c r="Q144" s="23"/>
      <c r="R144" s="23"/>
    </row>
    <row r="145" spans="1:18" s="243" customFormat="1" x14ac:dyDescent="0.25">
      <c r="A145" s="235"/>
      <c r="B145" s="236"/>
      <c r="C145" s="237" t="s">
        <v>420</v>
      </c>
      <c r="D145" s="238"/>
      <c r="E145" s="239"/>
      <c r="F145" s="239"/>
      <c r="G145" s="261">
        <f>+Sayfa1!C143</f>
        <v>355642.43243243243</v>
      </c>
      <c r="H145" s="262"/>
      <c r="I145" s="262"/>
      <c r="J145" s="262"/>
      <c r="K145" s="239"/>
      <c r="L145" s="239"/>
      <c r="M145" s="241"/>
      <c r="N145" s="242">
        <v>41096</v>
      </c>
      <c r="O145" s="242">
        <v>41526</v>
      </c>
      <c r="Q145" s="23"/>
      <c r="R145" s="23"/>
    </row>
    <row r="146" spans="1:18" s="243" customFormat="1" x14ac:dyDescent="0.25">
      <c r="A146" s="235"/>
      <c r="B146" s="236"/>
      <c r="C146" s="237" t="s">
        <v>421</v>
      </c>
      <c r="D146" s="238"/>
      <c r="E146" s="239"/>
      <c r="F146" s="239"/>
      <c r="G146" s="261">
        <f>+Sayfa1!C144</f>
        <v>508750.9405405405</v>
      </c>
      <c r="H146" s="262"/>
      <c r="I146" s="262"/>
      <c r="J146" s="262"/>
      <c r="K146" s="239"/>
      <c r="L146" s="239"/>
      <c r="M146" s="241"/>
      <c r="N146" s="242">
        <v>41095</v>
      </c>
      <c r="O146" s="242">
        <v>41523</v>
      </c>
      <c r="Q146" s="23"/>
      <c r="R146" s="23"/>
    </row>
    <row r="147" spans="1:18" s="243" customFormat="1" x14ac:dyDescent="0.25">
      <c r="A147" s="235"/>
      <c r="B147" s="236"/>
      <c r="C147" s="237" t="s">
        <v>422</v>
      </c>
      <c r="D147" s="238"/>
      <c r="E147" s="239"/>
      <c r="F147" s="239"/>
      <c r="G147" s="261">
        <f>+Sayfa1!C145</f>
        <v>280626.96216216212</v>
      </c>
      <c r="H147" s="262"/>
      <c r="I147" s="262"/>
      <c r="J147" s="262"/>
      <c r="K147" s="239"/>
      <c r="L147" s="239"/>
      <c r="M147" s="241"/>
      <c r="N147" s="242">
        <v>41109</v>
      </c>
      <c r="O147" s="242">
        <v>41537</v>
      </c>
      <c r="Q147" s="23"/>
      <c r="R147" s="23"/>
    </row>
    <row r="148" spans="1:18" s="243" customFormat="1" x14ac:dyDescent="0.25">
      <c r="A148" s="235"/>
      <c r="B148" s="236"/>
      <c r="C148" s="237" t="s">
        <v>423</v>
      </c>
      <c r="D148" s="238"/>
      <c r="E148" s="239"/>
      <c r="F148" s="239"/>
      <c r="G148" s="261">
        <f>+Sayfa1!C146</f>
        <v>741260.05405405397</v>
      </c>
      <c r="H148" s="262"/>
      <c r="I148" s="262"/>
      <c r="J148" s="262"/>
      <c r="K148" s="239"/>
      <c r="L148" s="239"/>
      <c r="M148" s="241"/>
      <c r="N148" s="242">
        <v>41095</v>
      </c>
      <c r="O148" s="242">
        <v>41576</v>
      </c>
      <c r="Q148" s="23"/>
      <c r="R148" s="23"/>
    </row>
    <row r="149" spans="1:18" s="243" customFormat="1" x14ac:dyDescent="0.25">
      <c r="A149" s="235"/>
      <c r="B149" s="236"/>
      <c r="C149" s="237" t="s">
        <v>424</v>
      </c>
      <c r="D149" s="238"/>
      <c r="E149" s="239" t="s">
        <v>20</v>
      </c>
      <c r="F149" s="239">
        <v>13</v>
      </c>
      <c r="G149" s="261">
        <f>+Sayfa1!C147</f>
        <v>297186.50810810807</v>
      </c>
      <c r="H149" s="262">
        <f>SUM(G143:G155)</f>
        <v>6931052.1081081079</v>
      </c>
      <c r="I149" s="262">
        <f>+H149</f>
        <v>6931052.1081081079</v>
      </c>
      <c r="J149" s="262">
        <f>I149/Sayfa1!A1</f>
        <v>5188124.4946561465</v>
      </c>
      <c r="K149" s="239" t="s">
        <v>11</v>
      </c>
      <c r="L149" s="239" t="s">
        <v>10</v>
      </c>
      <c r="M149" s="241">
        <f>+M133+90+8</f>
        <v>41037</v>
      </c>
      <c r="N149" s="242">
        <v>41085</v>
      </c>
      <c r="O149" s="242">
        <v>41602</v>
      </c>
      <c r="Q149" s="23"/>
      <c r="R149" s="23"/>
    </row>
    <row r="150" spans="1:18" s="243" customFormat="1" x14ac:dyDescent="0.25">
      <c r="A150" s="235"/>
      <c r="B150" s="236"/>
      <c r="C150" s="237" t="s">
        <v>425</v>
      </c>
      <c r="D150" s="238"/>
      <c r="E150" s="239"/>
      <c r="F150" s="239"/>
      <c r="G150" s="261">
        <f>+Sayfa1!C148</f>
        <v>804726.83243243233</v>
      </c>
      <c r="H150" s="262"/>
      <c r="I150" s="262"/>
      <c r="J150" s="262"/>
      <c r="K150" s="239"/>
      <c r="L150" s="239"/>
      <c r="M150" s="241"/>
      <c r="N150" s="242">
        <v>41099</v>
      </c>
      <c r="O150" s="242">
        <v>41618</v>
      </c>
      <c r="Q150" s="23"/>
      <c r="R150" s="23"/>
    </row>
    <row r="151" spans="1:18" s="243" customFormat="1" x14ac:dyDescent="0.25">
      <c r="A151" s="235"/>
      <c r="B151" s="236"/>
      <c r="C151" s="237" t="s">
        <v>426</v>
      </c>
      <c r="D151" s="238"/>
      <c r="E151" s="239"/>
      <c r="F151" s="239"/>
      <c r="G151" s="261">
        <f>+Sayfa1!C149</f>
        <v>545059.85945945943</v>
      </c>
      <c r="H151" s="262"/>
      <c r="I151" s="262"/>
      <c r="J151" s="262"/>
      <c r="K151" s="239"/>
      <c r="L151" s="239"/>
      <c r="M151" s="241"/>
      <c r="N151" s="242">
        <v>41095</v>
      </c>
      <c r="O151" s="242">
        <v>41581</v>
      </c>
      <c r="Q151" s="23"/>
      <c r="R151" s="23"/>
    </row>
    <row r="152" spans="1:18" s="243" customFormat="1" x14ac:dyDescent="0.25">
      <c r="A152" s="235"/>
      <c r="B152" s="236"/>
      <c r="C152" s="237" t="s">
        <v>427</v>
      </c>
      <c r="D152" s="238"/>
      <c r="E152" s="239"/>
      <c r="F152" s="239"/>
      <c r="G152" s="261">
        <f>+Sayfa1!C150</f>
        <v>351368.91891891888</v>
      </c>
      <c r="H152" s="262"/>
      <c r="I152" s="262"/>
      <c r="J152" s="262"/>
      <c r="K152" s="239"/>
      <c r="L152" s="239"/>
      <c r="M152" s="241"/>
      <c r="N152" s="242">
        <v>41094</v>
      </c>
      <c r="O152" s="242">
        <v>41523</v>
      </c>
      <c r="Q152" s="23"/>
      <c r="R152" s="23"/>
    </row>
    <row r="153" spans="1:18" s="243" customFormat="1" x14ac:dyDescent="0.25">
      <c r="A153" s="235"/>
      <c r="B153" s="236"/>
      <c r="C153" s="237" t="s">
        <v>428</v>
      </c>
      <c r="D153" s="238"/>
      <c r="E153" s="239"/>
      <c r="F153" s="239"/>
      <c r="G153" s="261">
        <f>+Sayfa1!C151</f>
        <v>573761.92432432435</v>
      </c>
      <c r="H153" s="262"/>
      <c r="I153" s="262"/>
      <c r="J153" s="262"/>
      <c r="K153" s="239"/>
      <c r="L153" s="239"/>
      <c r="M153" s="241"/>
      <c r="N153" s="242">
        <v>41089</v>
      </c>
      <c r="O153" s="242">
        <v>41519</v>
      </c>
      <c r="Q153" s="23"/>
      <c r="R153" s="23"/>
    </row>
    <row r="154" spans="1:18" s="243" customFormat="1" x14ac:dyDescent="0.25">
      <c r="A154" s="235"/>
      <c r="B154" s="236"/>
      <c r="C154" s="237" t="s">
        <v>429</v>
      </c>
      <c r="D154" s="238"/>
      <c r="E154" s="239"/>
      <c r="F154" s="239"/>
      <c r="G154" s="261">
        <f>+Sayfa1!C152</f>
        <v>674625.13513513515</v>
      </c>
      <c r="H154" s="262"/>
      <c r="I154" s="262"/>
      <c r="J154" s="262"/>
      <c r="K154" s="239"/>
      <c r="L154" s="239"/>
      <c r="M154" s="241"/>
      <c r="N154" s="242">
        <v>41107</v>
      </c>
      <c r="O154" s="242">
        <v>41594</v>
      </c>
      <c r="Q154" s="23"/>
      <c r="R154" s="23"/>
    </row>
    <row r="155" spans="1:18" s="243" customFormat="1" x14ac:dyDescent="0.25">
      <c r="A155" s="250"/>
      <c r="B155" s="251"/>
      <c r="C155" s="237" t="s">
        <v>430</v>
      </c>
      <c r="D155" s="238"/>
      <c r="E155" s="239"/>
      <c r="F155" s="239"/>
      <c r="G155" s="261">
        <f>+Sayfa1!C153</f>
        <v>681816.11891891877</v>
      </c>
      <c r="H155" s="262"/>
      <c r="I155" s="262"/>
      <c r="J155" s="262"/>
      <c r="K155" s="239"/>
      <c r="L155" s="239"/>
      <c r="M155" s="241"/>
      <c r="N155" s="242">
        <v>41114</v>
      </c>
      <c r="O155" s="242">
        <v>41603</v>
      </c>
      <c r="Q155" s="23"/>
      <c r="R155" s="23"/>
    </row>
    <row r="156" spans="1:18" s="195" customFormat="1" x14ac:dyDescent="0.25">
      <c r="A156" s="414"/>
      <c r="B156" s="415"/>
      <c r="C156" s="416"/>
      <c r="D156" s="417"/>
      <c r="E156" s="389"/>
      <c r="F156" s="390"/>
      <c r="G156" s="391"/>
      <c r="H156" s="284"/>
      <c r="I156" s="284"/>
      <c r="J156" s="284"/>
      <c r="K156" s="390"/>
      <c r="L156" s="390"/>
      <c r="M156" s="392"/>
      <c r="N156" s="215"/>
      <c r="O156" s="216"/>
      <c r="Q156" s="23"/>
      <c r="R156" s="23"/>
    </row>
    <row r="157" spans="1:18" s="243" customFormat="1" x14ac:dyDescent="0.25">
      <c r="A157" s="437">
        <v>1.1000000000000001</v>
      </c>
      <c r="B157" s="438" t="s">
        <v>295</v>
      </c>
      <c r="C157" s="253" t="s">
        <v>290</v>
      </c>
      <c r="D157" s="432"/>
      <c r="E157" s="433"/>
      <c r="F157" s="433"/>
      <c r="G157" s="434"/>
      <c r="H157" s="434"/>
      <c r="I157" s="434"/>
      <c r="J157" s="434"/>
      <c r="K157" s="433"/>
      <c r="L157" s="433"/>
      <c r="M157" s="435"/>
      <c r="N157" s="435"/>
      <c r="O157" s="436"/>
      <c r="Q157" s="23"/>
      <c r="R157" s="23"/>
    </row>
    <row r="158" spans="1:18" s="243" customFormat="1" x14ac:dyDescent="0.25">
      <c r="A158" s="235"/>
      <c r="B158" s="236"/>
      <c r="C158" s="237" t="s">
        <v>497</v>
      </c>
      <c r="D158" s="238"/>
      <c r="E158" s="239"/>
      <c r="F158" s="239"/>
      <c r="G158" s="261">
        <f>+Sayfa1!C156</f>
        <v>536629.55675675673</v>
      </c>
      <c r="H158" s="262"/>
      <c r="I158" s="262"/>
      <c r="J158" s="262"/>
      <c r="K158" s="239"/>
      <c r="L158" s="239"/>
      <c r="M158" s="241"/>
      <c r="N158" s="242">
        <v>41178</v>
      </c>
      <c r="O158" s="242">
        <f t="shared" ref="O158:O173" si="1">+N158+P158</f>
        <v>41658</v>
      </c>
      <c r="P158" s="421">
        <v>480</v>
      </c>
      <c r="Q158" s="23"/>
      <c r="R158" s="23"/>
    </row>
    <row r="159" spans="1:18" s="243" customFormat="1" x14ac:dyDescent="0.25">
      <c r="A159" s="235"/>
      <c r="B159" s="236"/>
      <c r="C159" s="237" t="s">
        <v>498</v>
      </c>
      <c r="D159" s="238"/>
      <c r="E159" s="239"/>
      <c r="F159" s="239"/>
      <c r="G159" s="261">
        <f>+Sayfa1!C157</f>
        <v>750669.43783783773</v>
      </c>
      <c r="H159" s="262"/>
      <c r="I159" s="262"/>
      <c r="J159" s="262"/>
      <c r="K159" s="239"/>
      <c r="L159" s="239"/>
      <c r="M159" s="241"/>
      <c r="N159" s="242">
        <v>41186</v>
      </c>
      <c r="O159" s="242">
        <f t="shared" si="1"/>
        <v>41696</v>
      </c>
      <c r="P159" s="421">
        <v>510</v>
      </c>
      <c r="Q159" s="23"/>
      <c r="R159" s="23"/>
    </row>
    <row r="160" spans="1:18" s="243" customFormat="1" x14ac:dyDescent="0.25">
      <c r="A160" s="235"/>
      <c r="B160" s="236"/>
      <c r="C160" s="237" t="s">
        <v>499</v>
      </c>
      <c r="D160" s="238"/>
      <c r="E160" s="239"/>
      <c r="F160" s="239"/>
      <c r="G160" s="261">
        <f>+Sayfa1!C158</f>
        <v>623586.62702702696</v>
      </c>
      <c r="H160" s="262"/>
      <c r="I160" s="262"/>
      <c r="J160" s="262"/>
      <c r="K160" s="239"/>
      <c r="L160" s="239"/>
      <c r="M160" s="241"/>
      <c r="N160" s="242">
        <v>41184</v>
      </c>
      <c r="O160" s="242">
        <f t="shared" si="1"/>
        <v>41694</v>
      </c>
      <c r="P160" s="421">
        <v>510</v>
      </c>
      <c r="Q160" s="23"/>
      <c r="R160" s="23"/>
    </row>
    <row r="161" spans="1:18" s="243" customFormat="1" x14ac:dyDescent="0.25">
      <c r="A161" s="235"/>
      <c r="B161" s="236"/>
      <c r="C161" s="237" t="s">
        <v>500</v>
      </c>
      <c r="D161" s="238"/>
      <c r="E161" s="239"/>
      <c r="F161" s="239"/>
      <c r="G161" s="261">
        <f>+Sayfa1!C159</f>
        <v>440500.37837837834</v>
      </c>
      <c r="H161" s="262"/>
      <c r="I161" s="262"/>
      <c r="J161" s="262"/>
      <c r="K161" s="239"/>
      <c r="L161" s="239"/>
      <c r="M161" s="241"/>
      <c r="N161" s="242">
        <v>41166</v>
      </c>
      <c r="O161" s="242">
        <f t="shared" si="1"/>
        <v>41586</v>
      </c>
      <c r="P161" s="421">
        <v>420</v>
      </c>
      <c r="Q161" s="23"/>
      <c r="R161" s="23"/>
    </row>
    <row r="162" spans="1:18" s="243" customFormat="1" x14ac:dyDescent="0.25">
      <c r="A162" s="235"/>
      <c r="B162" s="236"/>
      <c r="C162" s="237" t="s">
        <v>501</v>
      </c>
      <c r="D162" s="238"/>
      <c r="E162" s="239"/>
      <c r="F162" s="239"/>
      <c r="G162" s="261">
        <f>+Sayfa1!C160</f>
        <v>784998.50810810807</v>
      </c>
      <c r="H162" s="262"/>
      <c r="I162" s="262"/>
      <c r="J162" s="262"/>
      <c r="K162" s="239"/>
      <c r="L162" s="239"/>
      <c r="M162" s="241"/>
      <c r="N162" s="242">
        <v>41187</v>
      </c>
      <c r="O162" s="242">
        <f t="shared" si="1"/>
        <v>41667</v>
      </c>
      <c r="P162" s="421">
        <v>480</v>
      </c>
      <c r="Q162" s="23"/>
      <c r="R162" s="23"/>
    </row>
    <row r="163" spans="1:18" s="243" customFormat="1" x14ac:dyDescent="0.25">
      <c r="A163" s="235"/>
      <c r="B163" s="236"/>
      <c r="C163" s="237" t="s">
        <v>502</v>
      </c>
      <c r="D163" s="238"/>
      <c r="E163" s="239"/>
      <c r="F163" s="239"/>
      <c r="G163" s="261">
        <f>+Sayfa1!C161</f>
        <v>385123.29729729728</v>
      </c>
      <c r="H163" s="262"/>
      <c r="I163" s="262"/>
      <c r="J163" s="262"/>
      <c r="K163" s="239"/>
      <c r="L163" s="239"/>
      <c r="M163" s="241"/>
      <c r="N163" s="242">
        <v>41165</v>
      </c>
      <c r="O163" s="242">
        <f t="shared" si="1"/>
        <v>41585</v>
      </c>
      <c r="P163" s="421">
        <v>420</v>
      </c>
      <c r="Q163" s="23"/>
      <c r="R163" s="23"/>
    </row>
    <row r="164" spans="1:18" s="243" customFormat="1" x14ac:dyDescent="0.25">
      <c r="A164" s="235"/>
      <c r="B164" s="236"/>
      <c r="C164" s="237" t="s">
        <v>503</v>
      </c>
      <c r="D164" s="238"/>
      <c r="E164" s="239"/>
      <c r="F164" s="239"/>
      <c r="G164" s="261">
        <f>+Sayfa1!C162</f>
        <v>456470.5621621621</v>
      </c>
      <c r="H164" s="262"/>
      <c r="I164" s="262"/>
      <c r="J164" s="262"/>
      <c r="K164" s="239"/>
      <c r="L164" s="239"/>
      <c r="M164" s="241"/>
      <c r="N164" s="242">
        <v>41166</v>
      </c>
      <c r="O164" s="242">
        <f t="shared" si="1"/>
        <v>41646</v>
      </c>
      <c r="P164" s="421">
        <v>480</v>
      </c>
      <c r="Q164" s="23"/>
      <c r="R164" s="23"/>
    </row>
    <row r="165" spans="1:18" s="243" customFormat="1" ht="18.600000000000001" x14ac:dyDescent="0.25">
      <c r="A165" s="235"/>
      <c r="B165" s="236"/>
      <c r="C165" s="237" t="s">
        <v>504</v>
      </c>
      <c r="D165" s="238"/>
      <c r="E165" s="239" t="s">
        <v>20</v>
      </c>
      <c r="F165" s="239">
        <v>16</v>
      </c>
      <c r="G165" s="261">
        <f>+Sayfa1!C163</f>
        <v>629321.42702702689</v>
      </c>
      <c r="H165" s="262">
        <f>SUM(G158:G173)</f>
        <v>9406683.8162162136</v>
      </c>
      <c r="I165" s="262">
        <f>+H165</f>
        <v>9406683.8162162136</v>
      </c>
      <c r="J165" s="262">
        <f>I165/Sayfa1!A1</f>
        <v>7041217.6909341002</v>
      </c>
      <c r="K165" s="239" t="s">
        <v>11</v>
      </c>
      <c r="L165" s="239" t="s">
        <v>475</v>
      </c>
      <c r="M165" s="241">
        <f>+M149+68+8</f>
        <v>41113</v>
      </c>
      <c r="N165" s="242">
        <v>41186</v>
      </c>
      <c r="O165" s="242">
        <f t="shared" si="1"/>
        <v>41606</v>
      </c>
      <c r="P165" s="421">
        <v>420</v>
      </c>
      <c r="Q165" s="23"/>
      <c r="R165" s="23"/>
    </row>
    <row r="166" spans="1:18" s="243" customFormat="1" x14ac:dyDescent="0.25">
      <c r="A166" s="235"/>
      <c r="B166" s="236"/>
      <c r="C166" s="237" t="s">
        <v>505</v>
      </c>
      <c r="D166" s="238"/>
      <c r="E166" s="239"/>
      <c r="F166" s="239"/>
      <c r="G166" s="261">
        <f>+Sayfa1!C164</f>
        <v>670277.63243243238</v>
      </c>
      <c r="H166" s="262"/>
      <c r="I166" s="262"/>
      <c r="J166" s="262"/>
      <c r="K166" s="239"/>
      <c r="L166" s="239"/>
      <c r="M166" s="241"/>
      <c r="N166" s="242">
        <v>41192</v>
      </c>
      <c r="O166" s="242">
        <f t="shared" si="1"/>
        <v>41672</v>
      </c>
      <c r="P166" s="421">
        <v>480</v>
      </c>
      <c r="Q166" s="23"/>
      <c r="R166" s="23"/>
    </row>
    <row r="167" spans="1:18" s="243" customFormat="1" x14ac:dyDescent="0.25">
      <c r="A167" s="235"/>
      <c r="B167" s="236"/>
      <c r="C167" s="237" t="s">
        <v>506</v>
      </c>
      <c r="D167" s="238"/>
      <c r="E167" s="239"/>
      <c r="F167" s="239"/>
      <c r="G167" s="261">
        <f>+Sayfa1!C165</f>
        <v>409115.56756756752</v>
      </c>
      <c r="H167" s="262"/>
      <c r="I167" s="262"/>
      <c r="J167" s="262"/>
      <c r="K167" s="239"/>
      <c r="L167" s="239"/>
      <c r="M167" s="241"/>
      <c r="N167" s="242">
        <v>41169</v>
      </c>
      <c r="O167" s="242">
        <f t="shared" si="1"/>
        <v>41679</v>
      </c>
      <c r="P167" s="421">
        <v>510</v>
      </c>
      <c r="Q167" s="23"/>
      <c r="R167" s="23"/>
    </row>
    <row r="168" spans="1:18" s="243" customFormat="1" x14ac:dyDescent="0.25">
      <c r="A168" s="235"/>
      <c r="B168" s="236"/>
      <c r="C168" s="237" t="s">
        <v>507</v>
      </c>
      <c r="D168" s="238"/>
      <c r="E168" s="239"/>
      <c r="F168" s="239"/>
      <c r="G168" s="261">
        <f>+Sayfa1!C166</f>
        <v>870183.66486486478</v>
      </c>
      <c r="H168" s="262"/>
      <c r="I168" s="262"/>
      <c r="J168" s="262"/>
      <c r="K168" s="239"/>
      <c r="L168" s="239"/>
      <c r="M168" s="241"/>
      <c r="N168" s="242">
        <v>41200</v>
      </c>
      <c r="O168" s="242">
        <f t="shared" si="1"/>
        <v>41680</v>
      </c>
      <c r="P168" s="421">
        <v>480</v>
      </c>
      <c r="Q168" s="23"/>
      <c r="R168" s="23"/>
    </row>
    <row r="169" spans="1:18" s="243" customFormat="1" x14ac:dyDescent="0.25">
      <c r="A169" s="235"/>
      <c r="B169" s="236"/>
      <c r="C169" s="237" t="s">
        <v>508</v>
      </c>
      <c r="D169" s="238"/>
      <c r="E169" s="239"/>
      <c r="F169" s="239"/>
      <c r="G169" s="261">
        <f>+Sayfa1!C167</f>
        <v>441914.46486486483</v>
      </c>
      <c r="H169" s="262"/>
      <c r="I169" s="262"/>
      <c r="J169" s="262"/>
      <c r="K169" s="239"/>
      <c r="L169" s="239"/>
      <c r="M169" s="241"/>
      <c r="N169" s="242">
        <v>41178</v>
      </c>
      <c r="O169" s="242">
        <f t="shared" si="1"/>
        <v>41658</v>
      </c>
      <c r="P169" s="421">
        <v>480</v>
      </c>
      <c r="Q169" s="23"/>
      <c r="R169" s="23"/>
    </row>
    <row r="170" spans="1:18" s="243" customFormat="1" x14ac:dyDescent="0.25">
      <c r="A170" s="235"/>
      <c r="B170" s="236"/>
      <c r="C170" s="237" t="s">
        <v>509</v>
      </c>
      <c r="D170" s="238"/>
      <c r="E170" s="239"/>
      <c r="F170" s="239"/>
      <c r="G170" s="261">
        <f>+Sayfa1!C168</f>
        <v>480473.67567567562</v>
      </c>
      <c r="H170" s="262"/>
      <c r="I170" s="262"/>
      <c r="J170" s="262"/>
      <c r="K170" s="239"/>
      <c r="L170" s="239"/>
      <c r="M170" s="241"/>
      <c r="N170" s="242">
        <v>41178</v>
      </c>
      <c r="O170" s="242">
        <f t="shared" si="1"/>
        <v>41658</v>
      </c>
      <c r="P170" s="421">
        <v>480</v>
      </c>
      <c r="Q170" s="23"/>
      <c r="R170" s="23"/>
    </row>
    <row r="171" spans="1:18" s="243" customFormat="1" x14ac:dyDescent="0.25">
      <c r="A171" s="235"/>
      <c r="B171" s="236"/>
      <c r="C171" s="237" t="s">
        <v>510</v>
      </c>
      <c r="D171" s="238"/>
      <c r="E171" s="239"/>
      <c r="F171" s="239"/>
      <c r="G171" s="261">
        <f>+Sayfa1!C169</f>
        <v>366935.3513513513</v>
      </c>
      <c r="H171" s="262"/>
      <c r="I171" s="262"/>
      <c r="J171" s="262"/>
      <c r="K171" s="239"/>
      <c r="L171" s="239"/>
      <c r="M171" s="241"/>
      <c r="N171" s="242">
        <v>41165</v>
      </c>
      <c r="O171" s="242">
        <f t="shared" si="1"/>
        <v>41585</v>
      </c>
      <c r="P171" s="421">
        <v>420</v>
      </c>
      <c r="Q171" s="23"/>
      <c r="R171" s="23"/>
    </row>
    <row r="172" spans="1:18" s="243" customFormat="1" x14ac:dyDescent="0.25">
      <c r="A172" s="235"/>
      <c r="B172" s="236"/>
      <c r="C172" s="237" t="s">
        <v>511</v>
      </c>
      <c r="D172" s="238"/>
      <c r="E172" s="239"/>
      <c r="F172" s="239"/>
      <c r="G172" s="261">
        <f>+Sayfa1!C170</f>
        <v>1082127.6108108107</v>
      </c>
      <c r="H172" s="262"/>
      <c r="I172" s="262"/>
      <c r="J172" s="262"/>
      <c r="K172" s="239"/>
      <c r="L172" s="239"/>
      <c r="M172" s="241"/>
      <c r="N172" s="242">
        <v>41176</v>
      </c>
      <c r="O172" s="242">
        <f t="shared" si="1"/>
        <v>41686</v>
      </c>
      <c r="P172" s="421">
        <v>510</v>
      </c>
      <c r="Q172" s="23"/>
      <c r="R172" s="23"/>
    </row>
    <row r="173" spans="1:18" s="243" customFormat="1" x14ac:dyDescent="0.25">
      <c r="A173" s="235"/>
      <c r="B173" s="236"/>
      <c r="C173" s="237" t="s">
        <v>512</v>
      </c>
      <c r="D173" s="238"/>
      <c r="E173" s="239"/>
      <c r="F173" s="239"/>
      <c r="G173" s="261">
        <f>+Sayfa1!C171</f>
        <v>478356.05405405402</v>
      </c>
      <c r="H173" s="262"/>
      <c r="I173" s="262"/>
      <c r="J173" s="262"/>
      <c r="K173" s="239"/>
      <c r="L173" s="239"/>
      <c r="M173" s="241"/>
      <c r="N173" s="242">
        <v>41186</v>
      </c>
      <c r="O173" s="242">
        <f t="shared" si="1"/>
        <v>41666</v>
      </c>
      <c r="P173" s="421">
        <v>480</v>
      </c>
      <c r="Q173" s="23"/>
      <c r="R173" s="23"/>
    </row>
    <row r="174" spans="1:18" s="195" customFormat="1" x14ac:dyDescent="0.25">
      <c r="A174" s="199"/>
      <c r="B174" s="200"/>
      <c r="C174" s="192"/>
      <c r="D174" s="192"/>
      <c r="E174" s="204"/>
      <c r="F174" s="193"/>
      <c r="G174" s="273"/>
      <c r="H174" s="274"/>
      <c r="I174" s="274"/>
      <c r="J174" s="274"/>
      <c r="K174" s="193"/>
      <c r="L174" s="193"/>
      <c r="M174" s="183"/>
      <c r="N174" s="181"/>
      <c r="O174" s="383"/>
      <c r="P174" s="422"/>
      <c r="Q174" s="23"/>
      <c r="R174" s="23"/>
    </row>
    <row r="175" spans="1:18" s="243" customFormat="1" x14ac:dyDescent="0.25">
      <c r="A175" s="437">
        <v>1.1000000000000001</v>
      </c>
      <c r="B175" s="438" t="s">
        <v>296</v>
      </c>
      <c r="C175" s="253" t="s">
        <v>294</v>
      </c>
      <c r="D175" s="439"/>
      <c r="E175" s="433"/>
      <c r="F175" s="433"/>
      <c r="G175" s="434"/>
      <c r="H175" s="434"/>
      <c r="I175" s="434"/>
      <c r="J175" s="434"/>
      <c r="K175" s="433"/>
      <c r="L175" s="433"/>
      <c r="M175" s="435"/>
      <c r="N175" s="435"/>
      <c r="O175" s="436"/>
      <c r="P175" s="421"/>
      <c r="Q175" s="23"/>
      <c r="R175" s="23"/>
    </row>
    <row r="176" spans="1:18" s="243" customFormat="1" x14ac:dyDescent="0.25">
      <c r="A176" s="235"/>
      <c r="B176" s="236"/>
      <c r="C176" s="237" t="s">
        <v>483</v>
      </c>
      <c r="D176" s="238"/>
      <c r="E176" s="239"/>
      <c r="F176" s="239"/>
      <c r="G176" s="261">
        <f>+Sayfa1!C174</f>
        <v>922349.23243243236</v>
      </c>
      <c r="H176" s="262"/>
      <c r="I176" s="262"/>
      <c r="J176" s="262"/>
      <c r="K176" s="239"/>
      <c r="L176" s="239"/>
      <c r="M176" s="241"/>
      <c r="N176" s="242">
        <v>41241</v>
      </c>
      <c r="O176" s="242">
        <f>+N176+P176</f>
        <v>41751</v>
      </c>
      <c r="P176" s="421">
        <v>510</v>
      </c>
      <c r="Q176" s="23"/>
      <c r="R176" s="23"/>
    </row>
    <row r="177" spans="1:18" s="243" customFormat="1" x14ac:dyDescent="0.25">
      <c r="A177" s="235"/>
      <c r="B177" s="236"/>
      <c r="C177" s="237" t="s">
        <v>484</v>
      </c>
      <c r="D177" s="238"/>
      <c r="E177" s="239"/>
      <c r="F177" s="239"/>
      <c r="G177" s="261">
        <f>+Sayfa1!C175</f>
        <v>412560.84864864859</v>
      </c>
      <c r="H177" s="262"/>
      <c r="I177" s="262"/>
      <c r="J177" s="262"/>
      <c r="K177" s="239"/>
      <c r="L177" s="239"/>
      <c r="M177" s="241"/>
      <c r="N177" s="242">
        <v>41241</v>
      </c>
      <c r="O177" s="242">
        <f t="shared" ref="O177:O189" si="2">+N177+P177</f>
        <v>41751</v>
      </c>
      <c r="P177" s="421">
        <v>510</v>
      </c>
      <c r="Q177" s="23"/>
      <c r="R177" s="23"/>
    </row>
    <row r="178" spans="1:18" s="243" customFormat="1" x14ac:dyDescent="0.25">
      <c r="A178" s="235"/>
      <c r="B178" s="236"/>
      <c r="C178" s="237" t="s">
        <v>485</v>
      </c>
      <c r="D178" s="238"/>
      <c r="E178" s="239"/>
      <c r="F178" s="239"/>
      <c r="G178" s="261">
        <f>+Sayfa1!C176</f>
        <v>278714.78810810804</v>
      </c>
      <c r="H178" s="262"/>
      <c r="I178" s="262"/>
      <c r="J178" s="262"/>
      <c r="K178" s="239"/>
      <c r="L178" s="239"/>
      <c r="M178" s="241"/>
      <c r="N178" s="242">
        <v>41243</v>
      </c>
      <c r="O178" s="242">
        <f t="shared" si="2"/>
        <v>41753</v>
      </c>
      <c r="P178" s="421">
        <v>510</v>
      </c>
      <c r="Q178" s="23"/>
      <c r="R178" s="23"/>
    </row>
    <row r="179" spans="1:18" s="243" customFormat="1" x14ac:dyDescent="0.25">
      <c r="A179" s="235"/>
      <c r="B179" s="236"/>
      <c r="C179" s="237" t="s">
        <v>486</v>
      </c>
      <c r="D179" s="238"/>
      <c r="E179" s="239"/>
      <c r="F179" s="239"/>
      <c r="G179" s="261">
        <f>+Sayfa1!C177</f>
        <v>872234.31351351342</v>
      </c>
      <c r="H179" s="262"/>
      <c r="I179" s="262"/>
      <c r="J179" s="262"/>
      <c r="K179" s="239"/>
      <c r="L179" s="239"/>
      <c r="M179" s="241"/>
      <c r="N179" s="242">
        <v>41232</v>
      </c>
      <c r="O179" s="242">
        <f t="shared" si="2"/>
        <v>41742</v>
      </c>
      <c r="P179" s="421">
        <v>510</v>
      </c>
      <c r="Q179" s="23"/>
      <c r="R179" s="23"/>
    </row>
    <row r="180" spans="1:18" s="243" customFormat="1" x14ac:dyDescent="0.25">
      <c r="A180" s="235"/>
      <c r="B180" s="236"/>
      <c r="C180" s="237" t="s">
        <v>487</v>
      </c>
      <c r="D180" s="238"/>
      <c r="E180" s="239"/>
      <c r="F180" s="239"/>
      <c r="G180" s="261">
        <f>+Sayfa1!C178</f>
        <v>569158.01081081072</v>
      </c>
      <c r="H180" s="262"/>
      <c r="I180" s="262"/>
      <c r="J180" s="262"/>
      <c r="K180" s="239"/>
      <c r="L180" s="239"/>
      <c r="M180" s="241"/>
      <c r="N180" s="242">
        <v>41232</v>
      </c>
      <c r="O180" s="242">
        <f t="shared" si="2"/>
        <v>41742</v>
      </c>
      <c r="P180" s="421">
        <v>510</v>
      </c>
      <c r="Q180" s="23"/>
      <c r="R180" s="23"/>
    </row>
    <row r="181" spans="1:18" s="243" customFormat="1" x14ac:dyDescent="0.25">
      <c r="A181" s="235"/>
      <c r="B181" s="236"/>
      <c r="C181" s="237" t="s">
        <v>488</v>
      </c>
      <c r="D181" s="238"/>
      <c r="E181" s="239"/>
      <c r="F181" s="239"/>
      <c r="G181" s="261">
        <f>+Sayfa1!C179</f>
        <v>1086282.1675675674</v>
      </c>
      <c r="H181" s="262"/>
      <c r="I181" s="262"/>
      <c r="J181" s="262"/>
      <c r="K181" s="239"/>
      <c r="L181" s="239"/>
      <c r="M181" s="241"/>
      <c r="N181" s="242">
        <v>41226</v>
      </c>
      <c r="O181" s="242">
        <f t="shared" si="2"/>
        <v>41706</v>
      </c>
      <c r="P181" s="421">
        <v>480</v>
      </c>
      <c r="Q181" s="23"/>
      <c r="R181" s="23"/>
    </row>
    <row r="182" spans="1:18" s="243" customFormat="1" x14ac:dyDescent="0.25">
      <c r="A182" s="235"/>
      <c r="B182" s="236"/>
      <c r="C182" s="237" t="s">
        <v>489</v>
      </c>
      <c r="D182" s="238"/>
      <c r="E182" s="239" t="s">
        <v>20</v>
      </c>
      <c r="F182" s="239">
        <v>14</v>
      </c>
      <c r="G182" s="261">
        <f>+Sayfa1!C180</f>
        <v>872114.72529729723</v>
      </c>
      <c r="H182" s="262"/>
      <c r="I182" s="262"/>
      <c r="J182" s="262"/>
      <c r="K182" s="239"/>
      <c r="L182" s="239"/>
      <c r="M182" s="241"/>
      <c r="N182" s="242">
        <v>41227</v>
      </c>
      <c r="O182" s="242">
        <f t="shared" si="2"/>
        <v>41647</v>
      </c>
      <c r="P182" s="421">
        <v>420</v>
      </c>
      <c r="Q182" s="23"/>
      <c r="R182" s="23"/>
    </row>
    <row r="183" spans="1:18" s="243" customFormat="1" x14ac:dyDescent="0.25">
      <c r="A183" s="235"/>
      <c r="B183" s="236"/>
      <c r="C183" s="237" t="s">
        <v>490</v>
      </c>
      <c r="D183" s="238"/>
      <c r="E183" s="239"/>
      <c r="F183" s="239"/>
      <c r="G183" s="261">
        <f>+Sayfa1!C181</f>
        <v>474224.14054054045</v>
      </c>
      <c r="H183" s="262">
        <f>SUM(G176:G189)</f>
        <v>9410333.9134054035</v>
      </c>
      <c r="I183" s="262">
        <f>+H183</f>
        <v>9410333.9134054035</v>
      </c>
      <c r="J183" s="262">
        <f>+I183/Sayfa1!A1</f>
        <v>7043949.9108539242</v>
      </c>
      <c r="K183" s="239" t="s">
        <v>11</v>
      </c>
      <c r="L183" s="239" t="s">
        <v>12</v>
      </c>
      <c r="M183" s="241">
        <f>+M165+90-12-8</f>
        <v>41183</v>
      </c>
      <c r="N183" s="242">
        <v>41240</v>
      </c>
      <c r="O183" s="242">
        <f t="shared" si="2"/>
        <v>41750</v>
      </c>
      <c r="P183" s="421">
        <v>510</v>
      </c>
      <c r="Q183" s="23"/>
      <c r="R183" s="23"/>
    </row>
    <row r="184" spans="1:18" s="243" customFormat="1" x14ac:dyDescent="0.25">
      <c r="A184" s="235"/>
      <c r="B184" s="236"/>
      <c r="C184" s="237" t="s">
        <v>491</v>
      </c>
      <c r="D184" s="238"/>
      <c r="E184" s="239"/>
      <c r="F184" s="239"/>
      <c r="G184" s="261">
        <f>+Sayfa1!C182</f>
        <v>596253.36216216208</v>
      </c>
      <c r="H184" s="262"/>
      <c r="I184" s="262"/>
      <c r="J184" s="262"/>
      <c r="K184" s="239"/>
      <c r="L184" s="239"/>
      <c r="M184" s="241"/>
      <c r="N184" s="242">
        <v>41226</v>
      </c>
      <c r="O184" s="242">
        <f t="shared" si="2"/>
        <v>41646</v>
      </c>
      <c r="P184" s="421">
        <v>420</v>
      </c>
      <c r="Q184" s="23"/>
      <c r="R184" s="23"/>
    </row>
    <row r="185" spans="1:18" s="243" customFormat="1" x14ac:dyDescent="0.25">
      <c r="A185" s="235"/>
      <c r="B185" s="236"/>
      <c r="C185" s="237" t="s">
        <v>492</v>
      </c>
      <c r="D185" s="238"/>
      <c r="E185" s="239"/>
      <c r="F185" s="239"/>
      <c r="G185" s="261">
        <f>+Sayfa1!C183</f>
        <v>819249.76216216199</v>
      </c>
      <c r="H185" s="262"/>
      <c r="I185" s="262"/>
      <c r="J185" s="262"/>
      <c r="K185" s="239"/>
      <c r="L185" s="239"/>
      <c r="M185" s="241"/>
      <c r="N185" s="242">
        <f>+$M$183+90</f>
        <v>41273</v>
      </c>
      <c r="O185" s="242">
        <f t="shared" si="2"/>
        <v>41753</v>
      </c>
      <c r="P185" s="421">
        <v>480</v>
      </c>
      <c r="Q185" s="23"/>
      <c r="R185" s="23"/>
    </row>
    <row r="186" spans="1:18" s="243" customFormat="1" x14ac:dyDescent="0.25">
      <c r="A186" s="235"/>
      <c r="B186" s="236"/>
      <c r="C186" s="237" t="s">
        <v>493</v>
      </c>
      <c r="D186" s="238"/>
      <c r="E186" s="239"/>
      <c r="F186" s="239"/>
      <c r="G186" s="261">
        <f>+Sayfa1!C184</f>
        <v>760038.6378378378</v>
      </c>
      <c r="H186" s="262"/>
      <c r="I186" s="262"/>
      <c r="J186" s="262"/>
      <c r="K186" s="239"/>
      <c r="L186" s="239"/>
      <c r="M186" s="241"/>
      <c r="N186" s="242">
        <v>41242</v>
      </c>
      <c r="O186" s="242">
        <f t="shared" si="2"/>
        <v>41722</v>
      </c>
      <c r="P186" s="421">
        <v>480</v>
      </c>
      <c r="Q186" s="23"/>
      <c r="R186" s="23"/>
    </row>
    <row r="187" spans="1:18" s="243" customFormat="1" x14ac:dyDescent="0.25">
      <c r="A187" s="235"/>
      <c r="B187" s="236"/>
      <c r="C187" s="237" t="s">
        <v>494</v>
      </c>
      <c r="D187" s="238"/>
      <c r="E187" s="239"/>
      <c r="F187" s="239"/>
      <c r="G187" s="261">
        <f>+Sayfa1!C185</f>
        <v>717747.43783783785</v>
      </c>
      <c r="H187" s="262"/>
      <c r="I187" s="262"/>
      <c r="J187" s="262"/>
      <c r="K187" s="239"/>
      <c r="L187" s="239"/>
      <c r="M187" s="241"/>
      <c r="N187" s="242">
        <v>41241</v>
      </c>
      <c r="O187" s="242">
        <f t="shared" si="2"/>
        <v>41751</v>
      </c>
      <c r="P187" s="421">
        <v>510</v>
      </c>
      <c r="Q187" s="23"/>
      <c r="R187" s="23"/>
    </row>
    <row r="188" spans="1:18" s="243" customFormat="1" x14ac:dyDescent="0.25">
      <c r="A188" s="235"/>
      <c r="B188" s="236"/>
      <c r="C188" s="237" t="s">
        <v>495</v>
      </c>
      <c r="D188" s="238"/>
      <c r="E188" s="239"/>
      <c r="F188" s="239"/>
      <c r="G188" s="261">
        <f>+Sayfa1!C186</f>
        <v>566106.59459459456</v>
      </c>
      <c r="H188" s="262"/>
      <c r="I188" s="262"/>
      <c r="J188" s="262"/>
      <c r="K188" s="239"/>
      <c r="L188" s="239"/>
      <c r="M188" s="241"/>
      <c r="N188" s="242">
        <v>41232</v>
      </c>
      <c r="O188" s="242">
        <f t="shared" si="2"/>
        <v>41652</v>
      </c>
      <c r="P188" s="421">
        <v>420</v>
      </c>
      <c r="Q188" s="23"/>
      <c r="R188" s="23"/>
    </row>
    <row r="189" spans="1:18" s="243" customFormat="1" x14ac:dyDescent="0.25">
      <c r="A189" s="250"/>
      <c r="B189" s="251"/>
      <c r="C189" s="237" t="s">
        <v>496</v>
      </c>
      <c r="D189" s="238"/>
      <c r="E189" s="240"/>
      <c r="F189" s="240"/>
      <c r="G189" s="261">
        <f>+Sayfa1!C187</f>
        <v>463299.89189189184</v>
      </c>
      <c r="H189" s="261"/>
      <c r="I189" s="261"/>
      <c r="J189" s="261"/>
      <c r="K189" s="240"/>
      <c r="L189" s="240"/>
      <c r="M189" s="242"/>
      <c r="N189" s="242">
        <v>41240</v>
      </c>
      <c r="O189" s="242">
        <f t="shared" si="2"/>
        <v>41660</v>
      </c>
      <c r="P189" s="421">
        <v>420</v>
      </c>
      <c r="Q189" s="23"/>
      <c r="R189" s="23"/>
    </row>
    <row r="190" spans="1:18" s="195" customFormat="1" x14ac:dyDescent="0.25">
      <c r="A190" s="206"/>
      <c r="B190" s="207"/>
      <c r="C190" s="418"/>
      <c r="D190" s="208"/>
      <c r="E190" s="209"/>
      <c r="F190" s="210"/>
      <c r="G190" s="419"/>
      <c r="H190" s="276"/>
      <c r="I190" s="276"/>
      <c r="J190" s="279"/>
      <c r="K190" s="210"/>
      <c r="L190" s="210"/>
      <c r="M190" s="182"/>
      <c r="N190" s="182"/>
      <c r="O190" s="420"/>
      <c r="Q190" s="23"/>
      <c r="R190" s="23"/>
    </row>
    <row r="191" spans="1:18" s="195" customFormat="1" x14ac:dyDescent="0.25">
      <c r="A191" s="189">
        <v>1.1000000000000001</v>
      </c>
      <c r="B191" s="190" t="s">
        <v>297</v>
      </c>
      <c r="C191" s="423" t="s">
        <v>550</v>
      </c>
      <c r="D191" s="188"/>
      <c r="E191" s="199"/>
      <c r="F191" s="193"/>
      <c r="G191" s="273"/>
      <c r="H191" s="274"/>
      <c r="I191" s="274"/>
      <c r="J191" s="288"/>
      <c r="K191" s="193"/>
      <c r="L191" s="193"/>
      <c r="M191" s="183"/>
      <c r="N191" s="183"/>
      <c r="O191" s="385"/>
      <c r="Q191" s="23"/>
      <c r="R191" s="23"/>
    </row>
    <row r="192" spans="1:18" s="243" customFormat="1" x14ac:dyDescent="0.25">
      <c r="A192" s="235"/>
      <c r="B192" s="236"/>
      <c r="C192" s="237" t="s">
        <v>518</v>
      </c>
      <c r="D192" s="238"/>
      <c r="E192" s="239"/>
      <c r="F192" s="239"/>
      <c r="G192" s="261">
        <f>+Sayfa1!C190</f>
        <v>1174313.0378378378</v>
      </c>
      <c r="H192" s="262"/>
      <c r="I192" s="262"/>
      <c r="J192" s="262"/>
      <c r="K192" s="239"/>
      <c r="L192" s="239"/>
      <c r="M192" s="241"/>
      <c r="N192" s="242">
        <v>41333</v>
      </c>
      <c r="O192" s="242">
        <f>+N192+P192</f>
        <v>41843</v>
      </c>
      <c r="P192" s="421">
        <v>510</v>
      </c>
      <c r="Q192" s="23"/>
      <c r="R192" s="23"/>
    </row>
    <row r="193" spans="1:18" s="243" customFormat="1" x14ac:dyDescent="0.25">
      <c r="A193" s="235"/>
      <c r="B193" s="236"/>
      <c r="C193" s="237" t="s">
        <v>519</v>
      </c>
      <c r="D193" s="238"/>
      <c r="E193" s="239"/>
      <c r="F193" s="239"/>
      <c r="G193" s="261">
        <f>+Sayfa1!C191</f>
        <v>857700.54054054047</v>
      </c>
      <c r="H193" s="262"/>
      <c r="I193" s="262"/>
      <c r="J193" s="262"/>
      <c r="K193" s="239"/>
      <c r="L193" s="239"/>
      <c r="M193" s="241"/>
      <c r="N193" s="242">
        <v>41338</v>
      </c>
      <c r="O193" s="242">
        <f t="shared" ref="O193:O202" si="3">+N193+P193</f>
        <v>41848</v>
      </c>
      <c r="P193" s="421">
        <v>510</v>
      </c>
      <c r="Q193" s="23"/>
      <c r="R193" s="23"/>
    </row>
    <row r="194" spans="1:18" s="243" customFormat="1" x14ac:dyDescent="0.25">
      <c r="A194" s="235"/>
      <c r="B194" s="236"/>
      <c r="C194" s="237" t="s">
        <v>520</v>
      </c>
      <c r="D194" s="238"/>
      <c r="E194" s="239"/>
      <c r="F194" s="239"/>
      <c r="G194" s="261">
        <f>+Sayfa1!C192</f>
        <v>1018292.1621621621</v>
      </c>
      <c r="H194" s="262"/>
      <c r="I194" s="262"/>
      <c r="J194" s="262"/>
      <c r="K194" s="239"/>
      <c r="L194" s="239" t="s">
        <v>242</v>
      </c>
      <c r="M194" s="241"/>
      <c r="N194" s="242">
        <v>41334</v>
      </c>
      <c r="O194" s="242">
        <f t="shared" si="3"/>
        <v>41844</v>
      </c>
      <c r="P194" s="421">
        <v>510</v>
      </c>
      <c r="Q194" s="23"/>
      <c r="R194" s="23"/>
    </row>
    <row r="195" spans="1:18" s="243" customFormat="1" x14ac:dyDescent="0.25">
      <c r="A195" s="235"/>
      <c r="B195" s="236"/>
      <c r="C195" s="237" t="s">
        <v>521</v>
      </c>
      <c r="D195" s="238"/>
      <c r="E195" s="239"/>
      <c r="F195" s="239"/>
      <c r="G195" s="261">
        <f>+Sayfa1!C193</f>
        <v>431913.80540540535</v>
      </c>
      <c r="H195" s="262"/>
      <c r="I195" s="262"/>
      <c r="J195" s="262"/>
      <c r="K195" s="239"/>
      <c r="L195" s="239"/>
      <c r="M195" s="241"/>
      <c r="N195" s="242">
        <v>41318</v>
      </c>
      <c r="O195" s="242">
        <f t="shared" si="3"/>
        <v>41798</v>
      </c>
      <c r="P195" s="421">
        <v>480</v>
      </c>
      <c r="Q195" s="23"/>
      <c r="R195" s="23"/>
    </row>
    <row r="196" spans="1:18" s="243" customFormat="1" x14ac:dyDescent="0.25">
      <c r="A196" s="235"/>
      <c r="B196" s="236"/>
      <c r="C196" s="237" t="s">
        <v>522</v>
      </c>
      <c r="D196" s="238"/>
      <c r="E196" s="239"/>
      <c r="F196" s="239"/>
      <c r="G196" s="261">
        <f>+Sayfa1!C194</f>
        <v>588779.17837837839</v>
      </c>
      <c r="H196" s="262"/>
      <c r="I196" s="262"/>
      <c r="J196" s="262"/>
      <c r="K196" s="239"/>
      <c r="L196" s="239"/>
      <c r="M196" s="241"/>
      <c r="N196" s="242">
        <v>41332</v>
      </c>
      <c r="O196" s="242">
        <f t="shared" si="3"/>
        <v>41812</v>
      </c>
      <c r="P196" s="421">
        <v>480</v>
      </c>
      <c r="Q196" s="23"/>
      <c r="R196" s="23"/>
    </row>
    <row r="197" spans="1:18" s="243" customFormat="1" x14ac:dyDescent="0.25">
      <c r="A197" s="235"/>
      <c r="B197" s="236"/>
      <c r="C197" s="237" t="s">
        <v>523</v>
      </c>
      <c r="D197" s="238"/>
      <c r="E197" s="239" t="s">
        <v>20</v>
      </c>
      <c r="F197" s="239">
        <v>12</v>
      </c>
      <c r="G197" s="261">
        <f>+Sayfa1!C195</f>
        <v>586962.73102702701</v>
      </c>
      <c r="H197" s="262"/>
      <c r="I197" s="262"/>
      <c r="J197" s="262"/>
      <c r="K197" s="239"/>
      <c r="L197" s="239"/>
      <c r="M197" s="241"/>
      <c r="N197" s="242">
        <v>41317</v>
      </c>
      <c r="O197" s="242">
        <f t="shared" si="3"/>
        <v>41827</v>
      </c>
      <c r="P197" s="421">
        <v>510</v>
      </c>
      <c r="Q197" s="23"/>
      <c r="R197" s="23"/>
    </row>
    <row r="198" spans="1:18" s="243" customFormat="1" x14ac:dyDescent="0.25">
      <c r="A198" s="235"/>
      <c r="B198" s="236"/>
      <c r="C198" s="237" t="s">
        <v>524</v>
      </c>
      <c r="D198" s="238"/>
      <c r="E198" s="239"/>
      <c r="F198" s="239"/>
      <c r="G198" s="261">
        <f>+Sayfa1!C196</f>
        <v>898127.3405405404</v>
      </c>
      <c r="H198" s="262">
        <f>SUM(G192:G203)</f>
        <v>8531412.8715675678</v>
      </c>
      <c r="I198" s="262">
        <f>+H198</f>
        <v>8531412.8715675678</v>
      </c>
      <c r="J198" s="262">
        <f>+I198/Sayfa1!A1</f>
        <v>6386048.0923560895</v>
      </c>
      <c r="K198" s="239" t="s">
        <v>11</v>
      </c>
      <c r="L198" s="239" t="s">
        <v>12</v>
      </c>
      <c r="M198" s="241">
        <f>+M183+90-12-8+7</f>
        <v>41260</v>
      </c>
      <c r="N198" s="242">
        <v>41333</v>
      </c>
      <c r="O198" s="242">
        <f t="shared" si="3"/>
        <v>41843</v>
      </c>
      <c r="P198" s="421">
        <v>510</v>
      </c>
      <c r="Q198" s="23"/>
      <c r="R198" s="23"/>
    </row>
    <row r="199" spans="1:18" s="243" customFormat="1" x14ac:dyDescent="0.25">
      <c r="A199" s="235"/>
      <c r="B199" s="236"/>
      <c r="C199" s="237" t="s">
        <v>525</v>
      </c>
      <c r="D199" s="238"/>
      <c r="E199" s="239"/>
      <c r="F199" s="239"/>
      <c r="G199" s="261">
        <f>+Sayfa1!C197</f>
        <v>280083.20540540537</v>
      </c>
      <c r="H199" s="262"/>
      <c r="I199" s="262"/>
      <c r="J199" s="262"/>
      <c r="K199" s="239"/>
      <c r="L199" s="239"/>
      <c r="M199" s="241"/>
      <c r="N199" s="242">
        <v>41324</v>
      </c>
      <c r="O199" s="242">
        <f t="shared" si="3"/>
        <v>41804</v>
      </c>
      <c r="P199" s="421">
        <v>480</v>
      </c>
      <c r="Q199" s="23"/>
      <c r="R199" s="23"/>
    </row>
    <row r="200" spans="1:18" s="243" customFormat="1" x14ac:dyDescent="0.25">
      <c r="A200" s="235"/>
      <c r="B200" s="236"/>
      <c r="C200" s="237" t="s">
        <v>526</v>
      </c>
      <c r="D200" s="238"/>
      <c r="E200" s="239"/>
      <c r="F200" s="239"/>
      <c r="G200" s="261">
        <f>+Sayfa1!C198</f>
        <v>283559.74054054054</v>
      </c>
      <c r="H200" s="262"/>
      <c r="I200" s="262"/>
      <c r="J200" s="262"/>
      <c r="K200" s="239"/>
      <c r="L200" s="239"/>
      <c r="M200" s="241"/>
      <c r="N200" s="242">
        <v>41331</v>
      </c>
      <c r="O200" s="242">
        <f t="shared" si="3"/>
        <v>41811</v>
      </c>
      <c r="P200" s="421">
        <v>480</v>
      </c>
      <c r="Q200" s="23"/>
      <c r="R200" s="23"/>
    </row>
    <row r="201" spans="1:18" s="243" customFormat="1" x14ac:dyDescent="0.25">
      <c r="A201" s="235"/>
      <c r="B201" s="236"/>
      <c r="C201" s="237" t="s">
        <v>527</v>
      </c>
      <c r="D201" s="238"/>
      <c r="E201" s="239"/>
      <c r="F201" s="239"/>
      <c r="G201" s="261">
        <f>+Sayfa1!C199</f>
        <v>747101.43675675674</v>
      </c>
      <c r="H201" s="262"/>
      <c r="I201" s="262"/>
      <c r="J201" s="262"/>
      <c r="K201" s="239"/>
      <c r="L201" s="239"/>
      <c r="M201" s="241"/>
      <c r="N201" s="242">
        <v>41333</v>
      </c>
      <c r="O201" s="242">
        <f t="shared" si="3"/>
        <v>41843</v>
      </c>
      <c r="P201" s="421">
        <v>510</v>
      </c>
      <c r="Q201" s="23"/>
      <c r="R201" s="23"/>
    </row>
    <row r="202" spans="1:18" s="243" customFormat="1" x14ac:dyDescent="0.25">
      <c r="A202" s="235"/>
      <c r="B202" s="236"/>
      <c r="C202" s="237" t="s">
        <v>528</v>
      </c>
      <c r="D202" s="238"/>
      <c r="E202" s="239"/>
      <c r="F202" s="239"/>
      <c r="G202" s="261">
        <f>+Sayfa1!C200</f>
        <v>1081669.2605405403</v>
      </c>
      <c r="H202" s="262"/>
      <c r="I202" s="262"/>
      <c r="J202" s="262"/>
      <c r="K202" s="239"/>
      <c r="L202" s="239"/>
      <c r="M202" s="241"/>
      <c r="N202" s="242">
        <v>41332</v>
      </c>
      <c r="O202" s="242">
        <f t="shared" si="3"/>
        <v>41842</v>
      </c>
      <c r="P202" s="421">
        <v>510</v>
      </c>
      <c r="Q202" s="23"/>
      <c r="R202" s="23"/>
    </row>
    <row r="203" spans="1:18" s="243" customFormat="1" x14ac:dyDescent="0.25">
      <c r="A203" s="235"/>
      <c r="B203" s="236"/>
      <c r="C203" s="237" t="s">
        <v>529</v>
      </c>
      <c r="D203" s="238"/>
      <c r="E203" s="239"/>
      <c r="F203" s="239"/>
      <c r="G203" s="261">
        <f>+Sayfa1!C201</f>
        <v>582910.43243243243</v>
      </c>
      <c r="H203" s="262"/>
      <c r="I203" s="262"/>
      <c r="J203" s="262"/>
      <c r="K203" s="239"/>
      <c r="L203" s="239"/>
      <c r="M203" s="241"/>
      <c r="N203" s="242">
        <v>41324</v>
      </c>
      <c r="O203" s="242">
        <f>+N203+P203</f>
        <v>41804</v>
      </c>
      <c r="P203" s="421">
        <v>480</v>
      </c>
      <c r="Q203" s="23"/>
      <c r="R203" s="23"/>
    </row>
    <row r="204" spans="1:18" s="195" customFormat="1" x14ac:dyDescent="0.25">
      <c r="A204" s="199"/>
      <c r="B204" s="200"/>
      <c r="C204" s="380"/>
      <c r="D204" s="192"/>
      <c r="E204" s="204"/>
      <c r="F204" s="193"/>
      <c r="G204" s="273"/>
      <c r="H204" s="274"/>
      <c r="I204" s="274"/>
      <c r="J204" s="288"/>
      <c r="K204" s="193"/>
      <c r="L204" s="193"/>
      <c r="M204" s="183"/>
      <c r="N204" s="215"/>
      <c r="O204" s="384"/>
      <c r="Q204" s="23"/>
      <c r="R204" s="23"/>
    </row>
    <row r="205" spans="1:18" s="195" customFormat="1" x14ac:dyDescent="0.25">
      <c r="A205" s="199"/>
      <c r="B205" s="200"/>
      <c r="C205" s="198" t="s">
        <v>372</v>
      </c>
      <c r="D205" s="192"/>
      <c r="E205" s="204"/>
      <c r="F205" s="193"/>
      <c r="G205" s="274"/>
      <c r="H205" s="274"/>
      <c r="I205" s="274"/>
      <c r="J205" s="274"/>
      <c r="K205" s="193"/>
      <c r="L205" s="193"/>
      <c r="M205" s="183"/>
      <c r="N205" s="183"/>
      <c r="O205" s="385"/>
      <c r="Q205" s="23"/>
      <c r="R205" s="23"/>
    </row>
    <row r="206" spans="1:18" s="195" customFormat="1" x14ac:dyDescent="0.25">
      <c r="A206" s="199"/>
      <c r="B206" s="200"/>
      <c r="C206" s="218"/>
      <c r="D206" s="192"/>
      <c r="E206" s="204"/>
      <c r="F206" s="193"/>
      <c r="G206" s="273"/>
      <c r="H206" s="274"/>
      <c r="I206" s="274"/>
      <c r="J206" s="274"/>
      <c r="K206" s="193"/>
      <c r="L206" s="193"/>
      <c r="M206" s="183"/>
      <c r="N206" s="215"/>
      <c r="O206" s="384"/>
      <c r="Q206" s="23"/>
      <c r="R206" s="23"/>
    </row>
    <row r="207" spans="1:18" s="195" customFormat="1" x14ac:dyDescent="0.25">
      <c r="A207" s="189">
        <v>1.1000000000000001</v>
      </c>
      <c r="B207" s="190" t="s">
        <v>582</v>
      </c>
      <c r="C207" s="442" t="s">
        <v>514</v>
      </c>
      <c r="D207" s="443"/>
      <c r="E207" s="199"/>
      <c r="F207" s="193"/>
      <c r="G207" s="273"/>
      <c r="H207" s="274"/>
      <c r="I207" s="274"/>
      <c r="J207" s="288"/>
      <c r="K207" s="193"/>
      <c r="L207" s="193"/>
      <c r="M207" s="183"/>
      <c r="N207" s="183"/>
      <c r="O207" s="385"/>
      <c r="Q207" s="23"/>
      <c r="R207" s="23"/>
    </row>
    <row r="208" spans="1:18" s="322" customFormat="1" x14ac:dyDescent="0.25">
      <c r="A208" s="394"/>
      <c r="B208" s="395"/>
      <c r="C208" s="315" t="s">
        <v>562</v>
      </c>
      <c r="D208" s="396"/>
      <c r="E208" s="397"/>
      <c r="F208" s="398"/>
      <c r="G208" s="393">
        <v>1988059.8536075673</v>
      </c>
      <c r="H208" s="399"/>
      <c r="I208" s="399"/>
      <c r="J208" s="321"/>
      <c r="K208" s="398"/>
      <c r="L208" s="398"/>
      <c r="M208" s="400"/>
      <c r="N208" s="401">
        <f>+$M$214+60</f>
        <v>41407</v>
      </c>
      <c r="O208" s="401">
        <f>+N208+P208</f>
        <v>41917</v>
      </c>
      <c r="P208" s="467">
        <v>510</v>
      </c>
      <c r="Q208" s="23"/>
      <c r="R208" s="23"/>
    </row>
    <row r="209" spans="1:18" s="322" customFormat="1" x14ac:dyDescent="0.25">
      <c r="A209" s="402"/>
      <c r="B209" s="403"/>
      <c r="C209" s="315" t="s">
        <v>563</v>
      </c>
      <c r="D209" s="396"/>
      <c r="E209" s="404"/>
      <c r="F209" s="405"/>
      <c r="G209" s="320">
        <v>1935871.3280237836</v>
      </c>
      <c r="H209" s="406"/>
      <c r="I209" s="406"/>
      <c r="J209" s="319"/>
      <c r="K209" s="405"/>
      <c r="L209" s="405"/>
      <c r="M209" s="407"/>
      <c r="N209" s="401">
        <f t="shared" ref="N209:N221" si="4">+$M$214+60</f>
        <v>41407</v>
      </c>
      <c r="O209" s="401">
        <f t="shared" ref="O209:O221" si="5">+N209+P209</f>
        <v>41917</v>
      </c>
      <c r="P209" s="467">
        <v>510</v>
      </c>
      <c r="Q209" s="23"/>
    </row>
    <row r="210" spans="1:18" s="322" customFormat="1" x14ac:dyDescent="0.25">
      <c r="A210" s="402"/>
      <c r="B210" s="403"/>
      <c r="C210" s="315" t="s">
        <v>564</v>
      </c>
      <c r="D210" s="396"/>
      <c r="E210" s="404"/>
      <c r="F210" s="405"/>
      <c r="G210" s="320">
        <v>559210.93891459447</v>
      </c>
      <c r="H210" s="406"/>
      <c r="I210" s="406"/>
      <c r="J210" s="319"/>
      <c r="K210" s="405"/>
      <c r="L210" s="405" t="s">
        <v>242</v>
      </c>
      <c r="M210" s="407"/>
      <c r="N210" s="401">
        <f t="shared" si="4"/>
        <v>41407</v>
      </c>
      <c r="O210" s="401">
        <f t="shared" si="5"/>
        <v>41887</v>
      </c>
      <c r="P210" s="467">
        <v>480</v>
      </c>
      <c r="Q210" s="23"/>
    </row>
    <row r="211" spans="1:18" s="322" customFormat="1" x14ac:dyDescent="0.25">
      <c r="A211" s="402"/>
      <c r="B211" s="403"/>
      <c r="C211" s="315" t="s">
        <v>565</v>
      </c>
      <c r="D211" s="396"/>
      <c r="E211" s="404"/>
      <c r="F211" s="405"/>
      <c r="G211" s="320">
        <v>684558.57369405404</v>
      </c>
      <c r="H211" s="406"/>
      <c r="I211" s="406"/>
      <c r="J211" s="319"/>
      <c r="K211" s="405"/>
      <c r="L211" s="405"/>
      <c r="M211" s="407"/>
      <c r="N211" s="401">
        <f t="shared" si="4"/>
        <v>41407</v>
      </c>
      <c r="O211" s="401">
        <f t="shared" si="5"/>
        <v>41887</v>
      </c>
      <c r="P211" s="467">
        <v>480</v>
      </c>
      <c r="Q211" s="23"/>
    </row>
    <row r="212" spans="1:18" s="322" customFormat="1" x14ac:dyDescent="0.25">
      <c r="A212" s="402"/>
      <c r="B212" s="403"/>
      <c r="C212" s="315" t="s">
        <v>566</v>
      </c>
      <c r="D212" s="396"/>
      <c r="E212" s="404"/>
      <c r="F212" s="405"/>
      <c r="G212" s="320">
        <v>871018.01397081069</v>
      </c>
      <c r="H212" s="406"/>
      <c r="I212" s="406"/>
      <c r="J212" s="319"/>
      <c r="K212" s="405"/>
      <c r="L212" s="405"/>
      <c r="M212" s="407"/>
      <c r="N212" s="401">
        <f t="shared" si="4"/>
        <v>41407</v>
      </c>
      <c r="O212" s="401">
        <f t="shared" si="5"/>
        <v>41887</v>
      </c>
      <c r="P212" s="467">
        <v>480</v>
      </c>
      <c r="Q212" s="23"/>
    </row>
    <row r="213" spans="1:18" s="322" customFormat="1" x14ac:dyDescent="0.25">
      <c r="A213" s="402"/>
      <c r="B213" s="403"/>
      <c r="C213" s="315" t="s">
        <v>567</v>
      </c>
      <c r="D213" s="396"/>
      <c r="E213" s="404" t="s">
        <v>20</v>
      </c>
      <c r="F213" s="405">
        <v>14</v>
      </c>
      <c r="G213" s="320">
        <v>842389.96297945944</v>
      </c>
      <c r="H213" s="406"/>
      <c r="I213" s="406"/>
      <c r="J213" s="319"/>
      <c r="K213" s="405"/>
      <c r="L213" s="405"/>
      <c r="M213" s="407"/>
      <c r="N213" s="401">
        <f t="shared" si="4"/>
        <v>41407</v>
      </c>
      <c r="O213" s="401">
        <f t="shared" si="5"/>
        <v>41887</v>
      </c>
      <c r="P213" s="467">
        <v>480</v>
      </c>
      <c r="Q213" s="23"/>
    </row>
    <row r="214" spans="1:18" s="322" customFormat="1" x14ac:dyDescent="0.25">
      <c r="A214" s="402"/>
      <c r="B214" s="403"/>
      <c r="C214" s="315" t="s">
        <v>568</v>
      </c>
      <c r="D214" s="396"/>
      <c r="E214" s="408"/>
      <c r="F214" s="405"/>
      <c r="G214" s="320">
        <v>504023.20860648633</v>
      </c>
      <c r="H214" s="406">
        <f>SUM(G208:G221)</f>
        <v>14954197.978375133</v>
      </c>
      <c r="I214" s="406">
        <f>+H214</f>
        <v>14954197.978375133</v>
      </c>
      <c r="J214" s="319">
        <f>+I214/Sayfa1!A1</f>
        <v>11193717.724151228</v>
      </c>
      <c r="K214" s="405" t="s">
        <v>11</v>
      </c>
      <c r="L214" s="405" t="s">
        <v>12</v>
      </c>
      <c r="M214" s="407">
        <f>+M198+90-3</f>
        <v>41347</v>
      </c>
      <c r="N214" s="401">
        <f t="shared" si="4"/>
        <v>41407</v>
      </c>
      <c r="O214" s="401">
        <f t="shared" si="5"/>
        <v>41887</v>
      </c>
      <c r="P214" s="467">
        <v>480</v>
      </c>
      <c r="Q214" s="23"/>
      <c r="R214" s="531"/>
    </row>
    <row r="215" spans="1:18" s="322" customFormat="1" x14ac:dyDescent="0.25">
      <c r="A215" s="402"/>
      <c r="B215" s="403"/>
      <c r="C215" s="315" t="s">
        <v>569</v>
      </c>
      <c r="D215" s="396"/>
      <c r="E215" s="408"/>
      <c r="F215" s="405"/>
      <c r="G215" s="320">
        <v>708809.76715459442</v>
      </c>
      <c r="H215" s="406"/>
      <c r="I215" s="406"/>
      <c r="J215" s="319"/>
      <c r="K215" s="405"/>
      <c r="L215" s="405"/>
      <c r="M215" s="407"/>
      <c r="N215" s="401">
        <f t="shared" si="4"/>
        <v>41407</v>
      </c>
      <c r="O215" s="401">
        <f t="shared" si="5"/>
        <v>41887</v>
      </c>
      <c r="P215" s="467">
        <v>480</v>
      </c>
      <c r="Q215" s="23"/>
    </row>
    <row r="216" spans="1:18" s="322" customFormat="1" x14ac:dyDescent="0.25">
      <c r="A216" s="402"/>
      <c r="B216" s="403"/>
      <c r="C216" s="315" t="s">
        <v>570</v>
      </c>
      <c r="D216" s="396"/>
      <c r="E216" s="408"/>
      <c r="F216" s="405"/>
      <c r="G216" s="320">
        <v>1262293.0027167564</v>
      </c>
      <c r="H216" s="406"/>
      <c r="I216" s="406"/>
      <c r="J216" s="319"/>
      <c r="K216" s="405"/>
      <c r="L216" s="405"/>
      <c r="M216" s="407"/>
      <c r="N216" s="401">
        <f t="shared" si="4"/>
        <v>41407</v>
      </c>
      <c r="O216" s="401">
        <f t="shared" si="5"/>
        <v>41887</v>
      </c>
      <c r="P216" s="467">
        <v>480</v>
      </c>
      <c r="Q216" s="23"/>
    </row>
    <row r="217" spans="1:18" s="322" customFormat="1" x14ac:dyDescent="0.25">
      <c r="A217" s="402"/>
      <c r="B217" s="403"/>
      <c r="C217" s="315" t="s">
        <v>571</v>
      </c>
      <c r="D217" s="396"/>
      <c r="E217" s="404"/>
      <c r="F217" s="405"/>
      <c r="G217" s="320">
        <v>676398.25639459444</v>
      </c>
      <c r="H217" s="406"/>
      <c r="I217" s="406"/>
      <c r="J217" s="319"/>
      <c r="K217" s="405"/>
      <c r="L217" s="405"/>
      <c r="M217" s="407"/>
      <c r="N217" s="401">
        <f t="shared" si="4"/>
        <v>41407</v>
      </c>
      <c r="O217" s="401">
        <f t="shared" si="5"/>
        <v>41917</v>
      </c>
      <c r="P217" s="467">
        <v>510</v>
      </c>
      <c r="Q217" s="23"/>
    </row>
    <row r="218" spans="1:18" s="322" customFormat="1" x14ac:dyDescent="0.25">
      <c r="A218" s="402"/>
      <c r="B218" s="403"/>
      <c r="C218" s="315" t="s">
        <v>528</v>
      </c>
      <c r="D218" s="396"/>
      <c r="E218" s="404"/>
      <c r="F218" s="405"/>
      <c r="G218" s="320">
        <v>1241361.4082821622</v>
      </c>
      <c r="H218" s="406"/>
      <c r="I218" s="406"/>
      <c r="J218" s="319"/>
      <c r="K218" s="405"/>
      <c r="L218" s="405"/>
      <c r="M218" s="407"/>
      <c r="N218" s="401">
        <f t="shared" si="4"/>
        <v>41407</v>
      </c>
      <c r="O218" s="401">
        <f t="shared" si="5"/>
        <v>41887</v>
      </c>
      <c r="P218" s="467">
        <v>480</v>
      </c>
      <c r="Q218" s="23"/>
    </row>
    <row r="219" spans="1:18" s="322" customFormat="1" x14ac:dyDescent="0.25">
      <c r="A219" s="402"/>
      <c r="B219" s="403"/>
      <c r="C219" s="315" t="s">
        <v>572</v>
      </c>
      <c r="D219" s="396"/>
      <c r="E219" s="409"/>
      <c r="F219" s="405"/>
      <c r="G219" s="320">
        <v>589806.69565297279</v>
      </c>
      <c r="H219" s="406"/>
      <c r="I219" s="406"/>
      <c r="J219" s="319"/>
      <c r="K219" s="405"/>
      <c r="L219" s="405"/>
      <c r="M219" s="407"/>
      <c r="N219" s="401">
        <f t="shared" si="4"/>
        <v>41407</v>
      </c>
      <c r="O219" s="401">
        <f t="shared" si="5"/>
        <v>41917</v>
      </c>
      <c r="P219" s="467">
        <v>510</v>
      </c>
      <c r="Q219" s="23"/>
    </row>
    <row r="220" spans="1:18" s="322" customFormat="1" x14ac:dyDescent="0.25">
      <c r="A220" s="402"/>
      <c r="B220" s="403"/>
      <c r="C220" s="315" t="s">
        <v>573</v>
      </c>
      <c r="D220" s="396"/>
      <c r="E220" s="409"/>
      <c r="F220" s="405"/>
      <c r="G220" s="320">
        <v>925442.97091135127</v>
      </c>
      <c r="H220" s="406"/>
      <c r="I220" s="406"/>
      <c r="J220" s="319"/>
      <c r="K220" s="405"/>
      <c r="L220" s="405"/>
      <c r="M220" s="407"/>
      <c r="N220" s="401">
        <f t="shared" si="4"/>
        <v>41407</v>
      </c>
      <c r="O220" s="401">
        <f t="shared" si="5"/>
        <v>41917</v>
      </c>
      <c r="P220" s="467">
        <v>510</v>
      </c>
      <c r="Q220" s="23"/>
    </row>
    <row r="221" spans="1:18" s="322" customFormat="1" x14ac:dyDescent="0.25">
      <c r="A221" s="402"/>
      <c r="B221" s="403"/>
      <c r="C221" s="315" t="s">
        <v>512</v>
      </c>
      <c r="D221" s="396"/>
      <c r="E221" s="404"/>
      <c r="F221" s="405"/>
      <c r="G221" s="320">
        <v>2164953.9974659458</v>
      </c>
      <c r="H221" s="406"/>
      <c r="I221" s="406"/>
      <c r="J221" s="319"/>
      <c r="K221" s="405"/>
      <c r="L221" s="405"/>
      <c r="M221" s="407"/>
      <c r="N221" s="401">
        <f t="shared" si="4"/>
        <v>41407</v>
      </c>
      <c r="O221" s="401">
        <f t="shared" si="5"/>
        <v>41917</v>
      </c>
      <c r="P221" s="467">
        <v>510</v>
      </c>
      <c r="Q221" s="23"/>
    </row>
    <row r="222" spans="1:18" s="195" customFormat="1" x14ac:dyDescent="0.25">
      <c r="A222" s="199"/>
      <c r="B222" s="200"/>
      <c r="C222" s="218"/>
      <c r="D222" s="192"/>
      <c r="E222" s="204"/>
      <c r="F222" s="193"/>
      <c r="G222" s="273"/>
      <c r="H222" s="274"/>
      <c r="I222" s="274"/>
      <c r="J222" s="274"/>
      <c r="K222" s="193"/>
      <c r="L222" s="193"/>
      <c r="M222" s="183"/>
      <c r="N222" s="215"/>
      <c r="O222" s="216"/>
      <c r="Q222" s="23"/>
    </row>
    <row r="223" spans="1:18" s="195" customFormat="1" x14ac:dyDescent="0.25">
      <c r="A223" s="189">
        <v>1.1000000000000001</v>
      </c>
      <c r="B223" s="190" t="s">
        <v>543</v>
      </c>
      <c r="C223" s="444" t="s">
        <v>536</v>
      </c>
      <c r="D223" s="445"/>
      <c r="E223" s="189" t="s">
        <v>20</v>
      </c>
      <c r="F223" s="196">
        <v>5</v>
      </c>
      <c r="G223" s="277"/>
      <c r="H223" s="278">
        <f>+I223</f>
        <v>10771016.004609888</v>
      </c>
      <c r="I223" s="278">
        <f>+J223*Sayfa1!A1</f>
        <v>10771016.004609888</v>
      </c>
      <c r="J223" s="257">
        <f>2100000-481468+970066-2306000-156+1272473+270+1033412+93431+1314469+609303+37364-602795-23872+1+4608000-856261-294229+588458</f>
        <v>8062466</v>
      </c>
      <c r="K223" s="196" t="s">
        <v>11</v>
      </c>
      <c r="L223" s="196" t="s">
        <v>12</v>
      </c>
      <c r="M223" s="181">
        <f>+M214+60</f>
        <v>41407</v>
      </c>
      <c r="N223" s="181">
        <f>+M223+60</f>
        <v>41467</v>
      </c>
      <c r="O223" s="383">
        <f>+N223+17*30</f>
        <v>41977</v>
      </c>
      <c r="Q223" s="23"/>
      <c r="R223" s="532"/>
    </row>
    <row r="224" spans="1:18" s="195" customFormat="1" x14ac:dyDescent="0.25">
      <c r="A224" s="199"/>
      <c r="B224" s="200"/>
      <c r="C224" s="412"/>
      <c r="D224" s="192"/>
      <c r="E224" s="204"/>
      <c r="F224" s="193"/>
      <c r="G224" s="273"/>
      <c r="H224" s="274"/>
      <c r="I224" s="274"/>
      <c r="J224" s="274"/>
      <c r="K224" s="193"/>
      <c r="L224" s="193"/>
      <c r="M224" s="183"/>
      <c r="N224" s="215"/>
      <c r="O224" s="216"/>
      <c r="Q224" s="23"/>
    </row>
    <row r="225" spans="1:18" s="195" customFormat="1" ht="34.5" customHeight="1" x14ac:dyDescent="0.25">
      <c r="A225" s="189">
        <v>1.2</v>
      </c>
      <c r="B225" s="219" t="s">
        <v>583</v>
      </c>
      <c r="C225" s="220" t="s">
        <v>291</v>
      </c>
      <c r="D225" s="192"/>
      <c r="E225" s="221" t="s">
        <v>20</v>
      </c>
      <c r="F225" s="221" t="s">
        <v>81</v>
      </c>
      <c r="G225" s="280"/>
      <c r="H225" s="281">
        <f>SUM(H228:H248)</f>
        <v>5169177.5757777775</v>
      </c>
      <c r="I225" s="281">
        <f>SUM(I228:I248)</f>
        <v>5169177.5757777775</v>
      </c>
      <c r="J225" s="282">
        <f>SUM(J228:J252)</f>
        <v>5775938.9304826558</v>
      </c>
      <c r="K225" s="217"/>
      <c r="L225" s="217"/>
      <c r="M225" s="222"/>
      <c r="N225" s="197"/>
      <c r="O225" s="197"/>
      <c r="Q225" s="23"/>
      <c r="R225" s="532"/>
    </row>
    <row r="226" spans="1:18" s="195" customFormat="1" ht="14.25" customHeight="1" x14ac:dyDescent="0.25">
      <c r="A226" s="199"/>
      <c r="B226" s="223"/>
      <c r="C226" s="192"/>
      <c r="D226" s="192"/>
      <c r="E226" s="204"/>
      <c r="F226" s="193"/>
      <c r="G226" s="273"/>
      <c r="H226" s="283" t="e">
        <f>H157+#REF!+H136+H134+#REF!+H128+H104+H90+H71+H59+H58+H57+H56+H55+H54+H53+H52+H51+H50+H49+H116</f>
        <v>#REF!</v>
      </c>
      <c r="I226" s="274"/>
      <c r="J226" s="274"/>
      <c r="K226" s="193"/>
      <c r="L226" s="193"/>
      <c r="M226" s="183"/>
      <c r="N226" s="183"/>
      <c r="O226" s="194"/>
      <c r="Q226" s="23"/>
    </row>
    <row r="227" spans="1:18" s="195" customFormat="1" ht="14.25" customHeight="1" x14ac:dyDescent="0.25">
      <c r="A227" s="189">
        <v>1.2</v>
      </c>
      <c r="B227" s="190" t="s">
        <v>551</v>
      </c>
      <c r="C227" s="224" t="s">
        <v>293</v>
      </c>
      <c r="D227" s="225"/>
      <c r="E227" s="193"/>
      <c r="F227" s="193"/>
      <c r="G227" s="273"/>
      <c r="H227" s="284"/>
      <c r="I227" s="274"/>
      <c r="J227" s="274"/>
      <c r="K227" s="193"/>
      <c r="L227" s="193"/>
      <c r="M227" s="226"/>
      <c r="N227" s="227"/>
      <c r="O227" s="213"/>
      <c r="Q227" s="23"/>
    </row>
    <row r="228" spans="1:18" ht="18.600000000000001" x14ac:dyDescent="0.25">
      <c r="A228" s="153">
        <v>1.2</v>
      </c>
      <c r="B228" s="302" t="s">
        <v>552</v>
      </c>
      <c r="C228" s="155" t="s">
        <v>321</v>
      </c>
      <c r="D228" s="154"/>
      <c r="E228" s="153" t="s">
        <v>20</v>
      </c>
      <c r="F228" s="153">
        <v>1</v>
      </c>
      <c r="G228" s="163"/>
      <c r="H228" s="163">
        <f>+I228</f>
        <v>605371.84499999997</v>
      </c>
      <c r="I228" s="163">
        <f>+J228*Sayfa1!$B$1</f>
        <v>605371.84499999997</v>
      </c>
      <c r="J228" s="163">
        <f>+Sayfa1!D226*1</f>
        <v>403581.23</v>
      </c>
      <c r="K228" s="153" t="s">
        <v>11</v>
      </c>
      <c r="L228" s="153" t="s">
        <v>309</v>
      </c>
      <c r="M228" s="152">
        <v>39934</v>
      </c>
      <c r="N228" s="152">
        <v>40022</v>
      </c>
      <c r="O228" s="152">
        <v>40584</v>
      </c>
      <c r="Q228" s="23"/>
      <c r="R228" s="23"/>
    </row>
    <row r="229" spans="1:18" ht="18.600000000000001" x14ac:dyDescent="0.25">
      <c r="A229" s="153">
        <v>1.2</v>
      </c>
      <c r="B229" s="302" t="s">
        <v>553</v>
      </c>
      <c r="C229" s="155" t="s">
        <v>376</v>
      </c>
      <c r="D229" s="154"/>
      <c r="E229" s="153" t="s">
        <v>20</v>
      </c>
      <c r="F229" s="153">
        <v>1</v>
      </c>
      <c r="G229" s="163"/>
      <c r="H229" s="163">
        <f>+I229</f>
        <v>549727.30499999993</v>
      </c>
      <c r="I229" s="163">
        <f>+J229*Sayfa1!$B$1</f>
        <v>549727.30499999993</v>
      </c>
      <c r="J229" s="163">
        <f>+Sayfa1!D227*1</f>
        <v>366484.87</v>
      </c>
      <c r="K229" s="153" t="s">
        <v>11</v>
      </c>
      <c r="L229" s="153" t="s">
        <v>309</v>
      </c>
      <c r="M229" s="152">
        <v>39934</v>
      </c>
      <c r="N229" s="152">
        <v>40022</v>
      </c>
      <c r="O229" s="152">
        <v>40554</v>
      </c>
      <c r="Q229" s="23"/>
      <c r="R229" s="23"/>
    </row>
    <row r="230" spans="1:18" s="195" customFormat="1" x14ac:dyDescent="0.25">
      <c r="A230" s="199"/>
      <c r="B230" s="223"/>
      <c r="C230" s="192"/>
      <c r="D230" s="192"/>
      <c r="E230" s="204"/>
      <c r="F230" s="193"/>
      <c r="G230" s="273"/>
      <c r="H230" s="274"/>
      <c r="I230" s="274"/>
      <c r="J230" s="274"/>
      <c r="K230" s="193"/>
      <c r="L230" s="193"/>
      <c r="M230" s="183"/>
      <c r="N230" s="183"/>
      <c r="O230" s="194"/>
      <c r="Q230" s="23"/>
      <c r="R230" s="23"/>
    </row>
    <row r="231" spans="1:18" s="195" customFormat="1" ht="14.25" customHeight="1" x14ac:dyDescent="0.25">
      <c r="A231" s="202">
        <v>1.2</v>
      </c>
      <c r="B231" s="203" t="s">
        <v>292</v>
      </c>
      <c r="C231" s="224" t="s">
        <v>329</v>
      </c>
      <c r="D231" s="225"/>
      <c r="E231" s="193"/>
      <c r="F231" s="193"/>
      <c r="G231" s="273"/>
      <c r="H231" s="274"/>
      <c r="I231" s="274"/>
      <c r="J231" s="274"/>
      <c r="K231" s="193"/>
      <c r="L231" s="193"/>
      <c r="M231" s="183"/>
      <c r="N231" s="183"/>
      <c r="O231" s="194"/>
      <c r="Q231" s="23"/>
      <c r="R231" s="23"/>
    </row>
    <row r="232" spans="1:18" x14ac:dyDescent="0.25">
      <c r="A232" s="245"/>
      <c r="B232" s="245"/>
      <c r="C232" s="155" t="s">
        <v>322</v>
      </c>
      <c r="D232" s="154"/>
      <c r="E232" s="245"/>
      <c r="F232" s="245"/>
      <c r="G232" s="163">
        <f>+Sayfa1!B230/1.5</f>
        <v>356501.60000000003</v>
      </c>
      <c r="H232" s="244"/>
      <c r="I232" s="244"/>
      <c r="J232" s="244"/>
      <c r="K232" s="245"/>
      <c r="L232" s="245"/>
      <c r="M232" s="301"/>
      <c r="N232" s="152">
        <v>40400</v>
      </c>
      <c r="O232" s="152">
        <v>41255</v>
      </c>
      <c r="Q232" s="23"/>
      <c r="R232" s="23"/>
    </row>
    <row r="233" spans="1:18" x14ac:dyDescent="0.25">
      <c r="A233" s="245"/>
      <c r="B233" s="245"/>
      <c r="C233" s="155" t="s">
        <v>323</v>
      </c>
      <c r="D233" s="154"/>
      <c r="E233" s="245" t="s">
        <v>20</v>
      </c>
      <c r="F233" s="245">
        <v>4</v>
      </c>
      <c r="G233" s="163">
        <f>+Sayfa1!B231/1.5</f>
        <v>313885.82133333333</v>
      </c>
      <c r="H233" s="244">
        <f>SUM(G232:G235)</f>
        <v>1428364.3546666666</v>
      </c>
      <c r="I233" s="244">
        <f>+H233</f>
        <v>1428364.3546666666</v>
      </c>
      <c r="J233" s="244">
        <f>SUM(Sayfa1!E230:E233)</f>
        <v>885228.39850000013</v>
      </c>
      <c r="K233" s="245" t="s">
        <v>11</v>
      </c>
      <c r="L233" s="245" t="s">
        <v>10</v>
      </c>
      <c r="M233" s="301">
        <v>40357</v>
      </c>
      <c r="N233" s="152">
        <v>40408</v>
      </c>
      <c r="O233" s="152">
        <v>41073</v>
      </c>
      <c r="Q233" s="23"/>
      <c r="R233" s="23"/>
    </row>
    <row r="234" spans="1:18" x14ac:dyDescent="0.25">
      <c r="A234" s="245"/>
      <c r="B234" s="245"/>
      <c r="C234" s="155" t="s">
        <v>324</v>
      </c>
      <c r="D234" s="154"/>
      <c r="E234" s="245"/>
      <c r="F234" s="245"/>
      <c r="G234" s="163">
        <f>+Sayfa1!B232/1.5</f>
        <v>339840</v>
      </c>
      <c r="H234" s="244"/>
      <c r="I234" s="244"/>
      <c r="J234" s="244"/>
      <c r="K234" s="245"/>
      <c r="L234" s="245"/>
      <c r="M234" s="301"/>
      <c r="N234" s="152">
        <v>40406</v>
      </c>
      <c r="O234" s="152">
        <v>40955</v>
      </c>
      <c r="Q234" s="23"/>
      <c r="R234" s="23"/>
    </row>
    <row r="235" spans="1:18" x14ac:dyDescent="0.25">
      <c r="A235" s="245"/>
      <c r="B235" s="245"/>
      <c r="C235" s="155" t="s">
        <v>325</v>
      </c>
      <c r="D235" s="154"/>
      <c r="E235" s="245"/>
      <c r="F235" s="245"/>
      <c r="G235" s="163">
        <f>+Sayfa1!B233/1.5</f>
        <v>418136.93333333335</v>
      </c>
      <c r="H235" s="244"/>
      <c r="I235" s="244"/>
      <c r="J235" s="244"/>
      <c r="K235" s="245"/>
      <c r="L235" s="245"/>
      <c r="M235" s="301"/>
      <c r="N235" s="152">
        <v>40407</v>
      </c>
      <c r="O235" s="152">
        <v>41016</v>
      </c>
      <c r="Q235" s="23"/>
      <c r="R235" s="23"/>
    </row>
    <row r="236" spans="1:18" s="195" customFormat="1" x14ac:dyDescent="0.3">
      <c r="A236" s="199"/>
      <c r="B236" s="190"/>
      <c r="C236" s="205"/>
      <c r="D236" s="192"/>
      <c r="E236" s="204"/>
      <c r="F236" s="193"/>
      <c r="G236" s="287"/>
      <c r="H236" s="284"/>
      <c r="I236" s="274"/>
      <c r="J236" s="274"/>
      <c r="K236" s="193"/>
      <c r="L236" s="193"/>
      <c r="M236" s="226"/>
      <c r="N236" s="183"/>
      <c r="O236" s="229"/>
      <c r="Q236" s="23"/>
    </row>
    <row r="237" spans="1:18" s="195" customFormat="1" ht="14.25" customHeight="1" x14ac:dyDescent="0.25">
      <c r="A237" s="230">
        <v>1.2</v>
      </c>
      <c r="B237" s="231" t="s">
        <v>79</v>
      </c>
      <c r="C237" s="175" t="s">
        <v>330</v>
      </c>
      <c r="D237" s="232"/>
      <c r="E237" s="232"/>
      <c r="F237" s="232"/>
      <c r="G237" s="288"/>
      <c r="H237" s="288"/>
      <c r="I237" s="466"/>
      <c r="J237" s="288"/>
      <c r="K237" s="232"/>
      <c r="L237" s="232"/>
      <c r="M237" s="170"/>
      <c r="N237" s="170"/>
      <c r="O237" s="233"/>
      <c r="Q237" s="23"/>
    </row>
    <row r="238" spans="1:18" s="243" customFormat="1" x14ac:dyDescent="0.25">
      <c r="A238" s="235"/>
      <c r="B238" s="236"/>
      <c r="C238" s="237" t="s">
        <v>326</v>
      </c>
      <c r="D238" s="238"/>
      <c r="E238" s="239"/>
      <c r="F238" s="239"/>
      <c r="G238" s="261">
        <f>+Sayfa1!B236/1.5</f>
        <v>225576.66666666666</v>
      </c>
      <c r="H238" s="262"/>
      <c r="I238" s="262"/>
      <c r="J238" s="262"/>
      <c r="K238" s="239"/>
      <c r="L238" s="239"/>
      <c r="M238" s="241"/>
      <c r="N238" s="242">
        <v>40724</v>
      </c>
      <c r="O238" s="242">
        <v>41292</v>
      </c>
      <c r="Q238" s="23"/>
    </row>
    <row r="239" spans="1:18" s="243" customFormat="1" x14ac:dyDescent="0.25">
      <c r="A239" s="235"/>
      <c r="B239" s="236"/>
      <c r="C239" s="237" t="s">
        <v>327</v>
      </c>
      <c r="D239" s="238"/>
      <c r="E239" s="239" t="s">
        <v>20</v>
      </c>
      <c r="F239" s="239">
        <v>3</v>
      </c>
      <c r="G239" s="261">
        <f>+Sayfa1!B237/1.5</f>
        <v>297964.15999999997</v>
      </c>
      <c r="H239" s="262">
        <f>SUM(G238:G240)</f>
        <v>751658.42666666664</v>
      </c>
      <c r="I239" s="262">
        <f>+H239</f>
        <v>751658.42666666664</v>
      </c>
      <c r="J239" s="262">
        <f>+I239/1.5039</f>
        <v>499806.12186093931</v>
      </c>
      <c r="K239" s="239" t="s">
        <v>11</v>
      </c>
      <c r="L239" s="239" t="s">
        <v>12</v>
      </c>
      <c r="M239" s="241">
        <v>40672</v>
      </c>
      <c r="N239" s="242">
        <v>40724</v>
      </c>
      <c r="O239" s="242">
        <v>41279</v>
      </c>
      <c r="Q239" s="23"/>
    </row>
    <row r="240" spans="1:18" s="243" customFormat="1" x14ac:dyDescent="0.25">
      <c r="A240" s="235"/>
      <c r="B240" s="236"/>
      <c r="C240" s="237" t="s">
        <v>328</v>
      </c>
      <c r="D240" s="238"/>
      <c r="E240" s="239"/>
      <c r="F240" s="239"/>
      <c r="G240" s="261">
        <f>+Sayfa1!B238/1.5</f>
        <v>228117.59999999998</v>
      </c>
      <c r="H240" s="262"/>
      <c r="I240" s="262"/>
      <c r="J240" s="262"/>
      <c r="K240" s="239"/>
      <c r="L240" s="239"/>
      <c r="M240" s="241"/>
      <c r="N240" s="242">
        <v>40724</v>
      </c>
      <c r="O240" s="242">
        <v>40941</v>
      </c>
      <c r="Q240" s="23"/>
      <c r="R240" s="533"/>
    </row>
    <row r="241" spans="1:79" s="195" customFormat="1" x14ac:dyDescent="0.3">
      <c r="A241" s="199"/>
      <c r="B241" s="228"/>
      <c r="C241" s="187"/>
      <c r="D241" s="192"/>
      <c r="E241" s="196"/>
      <c r="F241" s="196"/>
      <c r="G241" s="285"/>
      <c r="H241" s="286"/>
      <c r="I241" s="278"/>
      <c r="J241" s="278"/>
      <c r="K241" s="196"/>
      <c r="L241" s="196"/>
      <c r="M241" s="222"/>
      <c r="N241" s="181"/>
      <c r="O241" s="181"/>
      <c r="Q241" s="23"/>
    </row>
    <row r="242" spans="1:79" s="60" customFormat="1" x14ac:dyDescent="0.3">
      <c r="A242" s="304">
        <v>1.2</v>
      </c>
      <c r="B242" s="305" t="s">
        <v>80</v>
      </c>
      <c r="C242" s="112" t="s">
        <v>373</v>
      </c>
      <c r="D242" s="107"/>
      <c r="E242" s="113"/>
      <c r="F242" s="114"/>
      <c r="G242" s="289"/>
      <c r="H242" s="271"/>
      <c r="I242" s="271"/>
      <c r="J242" s="288"/>
      <c r="K242" s="114"/>
      <c r="L242" s="174"/>
      <c r="M242" s="143"/>
      <c r="N242" s="109"/>
      <c r="O242" s="144"/>
      <c r="Q242" s="23"/>
    </row>
    <row r="243" spans="1:79" s="243" customFormat="1" x14ac:dyDescent="0.25">
      <c r="A243" s="235"/>
      <c r="B243" s="236"/>
      <c r="C243" s="237" t="s">
        <v>457</v>
      </c>
      <c r="D243" s="238"/>
      <c r="E243" s="239"/>
      <c r="F243" s="239"/>
      <c r="G243" s="261">
        <f>+Sayfa1!C241</f>
        <v>230524.79999999996</v>
      </c>
      <c r="H243" s="262"/>
      <c r="I243" s="262"/>
      <c r="J243" s="262"/>
      <c r="K243" s="239"/>
      <c r="L243" s="239"/>
      <c r="M243" s="241"/>
      <c r="N243" s="242">
        <v>41155</v>
      </c>
      <c r="O243" s="242">
        <v>41455</v>
      </c>
      <c r="Q243" s="23"/>
    </row>
    <row r="244" spans="1:79" s="243" customFormat="1" x14ac:dyDescent="0.25">
      <c r="A244" s="235"/>
      <c r="B244" s="236"/>
      <c r="C244" s="237" t="s">
        <v>458</v>
      </c>
      <c r="D244" s="238"/>
      <c r="E244" s="239" t="s">
        <v>20</v>
      </c>
      <c r="F244" s="239">
        <v>4</v>
      </c>
      <c r="G244" s="261">
        <f>+Sayfa1!C242</f>
        <v>184932.22222222222</v>
      </c>
      <c r="H244" s="262">
        <f>SUM(G243:G246)</f>
        <v>1834055.6444444442</v>
      </c>
      <c r="I244" s="262">
        <f>+H244</f>
        <v>1834055.6444444442</v>
      </c>
      <c r="J244" s="262">
        <f>+I244/Sayfa1!A1</f>
        <v>1372852.0382025917</v>
      </c>
      <c r="K244" s="239" t="s">
        <v>11</v>
      </c>
      <c r="L244" s="239" t="s">
        <v>477</v>
      </c>
      <c r="M244" s="241" t="s">
        <v>417</v>
      </c>
      <c r="N244" s="242">
        <v>41145</v>
      </c>
      <c r="O244" s="242">
        <v>41445</v>
      </c>
      <c r="Q244" s="23"/>
      <c r="R244" s="533"/>
    </row>
    <row r="245" spans="1:79" s="243" customFormat="1" x14ac:dyDescent="0.25">
      <c r="A245" s="235"/>
      <c r="B245" s="236"/>
      <c r="C245" s="237" t="s">
        <v>369</v>
      </c>
      <c r="D245" s="238"/>
      <c r="E245" s="239"/>
      <c r="F245" s="239"/>
      <c r="G245" s="261">
        <f>+Sayfa1!C243</f>
        <v>767321.22222222213</v>
      </c>
      <c r="H245" s="262"/>
      <c r="I245" s="262"/>
      <c r="J245" s="262"/>
      <c r="K245" s="239"/>
      <c r="L245" s="239"/>
      <c r="M245" s="241"/>
      <c r="N245" s="242">
        <v>41152</v>
      </c>
      <c r="O245" s="242">
        <v>41452</v>
      </c>
      <c r="Q245" s="23"/>
    </row>
    <row r="246" spans="1:79" s="243" customFormat="1" x14ac:dyDescent="0.25">
      <c r="A246" s="235"/>
      <c r="B246" s="236"/>
      <c r="C246" s="237" t="s">
        <v>370</v>
      </c>
      <c r="D246" s="238"/>
      <c r="E246" s="239"/>
      <c r="F246" s="239"/>
      <c r="G246" s="261">
        <f>+Sayfa1!C244</f>
        <v>651277.39999999991</v>
      </c>
      <c r="H246" s="262"/>
      <c r="I246" s="262"/>
      <c r="J246" s="262"/>
      <c r="K246" s="239"/>
      <c r="L246" s="239"/>
      <c r="M246" s="241"/>
      <c r="N246" s="242">
        <v>41150</v>
      </c>
      <c r="O246" s="242">
        <v>41450</v>
      </c>
      <c r="Q246" s="23"/>
    </row>
    <row r="247" spans="1:79" s="60" customFormat="1" x14ac:dyDescent="0.25">
      <c r="A247" s="65"/>
      <c r="B247" s="61"/>
      <c r="C247" s="175"/>
      <c r="D247" s="107"/>
      <c r="E247" s="113"/>
      <c r="F247" s="114"/>
      <c r="G247" s="274"/>
      <c r="H247" s="271"/>
      <c r="I247" s="271"/>
      <c r="J247" s="288"/>
      <c r="K247" s="114"/>
      <c r="L247" s="174"/>
      <c r="M247" s="143"/>
      <c r="N247" s="109"/>
      <c r="O247" s="186"/>
      <c r="Q247" s="23"/>
    </row>
    <row r="248" spans="1:79" s="60" customFormat="1" x14ac:dyDescent="0.3">
      <c r="A248" s="65">
        <v>1.2</v>
      </c>
      <c r="B248" s="62" t="s">
        <v>298</v>
      </c>
      <c r="C248" s="112" t="s">
        <v>589</v>
      </c>
      <c r="D248" s="107"/>
      <c r="E248" s="113"/>
      <c r="F248" s="114"/>
      <c r="G248" s="289"/>
      <c r="H248" s="271"/>
      <c r="I248" s="271"/>
      <c r="J248" s="288"/>
      <c r="K248" s="114"/>
      <c r="L248" s="174"/>
      <c r="M248" s="143"/>
      <c r="N248" s="109"/>
      <c r="O248" s="144"/>
      <c r="Q248" s="23"/>
    </row>
    <row r="249" spans="1:79" s="243" customFormat="1" x14ac:dyDescent="0.25">
      <c r="A249" s="235"/>
      <c r="B249" s="236"/>
      <c r="C249" s="237" t="s">
        <v>579</v>
      </c>
      <c r="D249" s="238"/>
      <c r="E249" s="239"/>
      <c r="F249" s="239"/>
      <c r="G249" s="261">
        <f>+Sayfa1!C247</f>
        <v>834746.35135135124</v>
      </c>
      <c r="H249" s="262"/>
      <c r="I249" s="262"/>
      <c r="J249" s="262"/>
      <c r="K249" s="239"/>
      <c r="L249" s="239"/>
      <c r="M249" s="241"/>
      <c r="N249" s="242">
        <v>41462</v>
      </c>
      <c r="O249" s="242">
        <f>+N249+210</f>
        <v>41672</v>
      </c>
      <c r="Q249" s="23"/>
    </row>
    <row r="250" spans="1:79" s="243" customFormat="1" x14ac:dyDescent="0.25">
      <c r="A250" s="235"/>
      <c r="B250" s="236"/>
      <c r="C250" s="237" t="s">
        <v>580</v>
      </c>
      <c r="D250" s="238"/>
      <c r="E250" s="239" t="s">
        <v>20</v>
      </c>
      <c r="F250" s="239">
        <v>2</v>
      </c>
      <c r="G250" s="262">
        <f>+Sayfa1!C248</f>
        <v>832495.42162162159</v>
      </c>
      <c r="H250" s="262">
        <f>SUM(G249:G250)</f>
        <v>1667241.7729729728</v>
      </c>
      <c r="I250" s="262">
        <f>+H250</f>
        <v>1667241.7729729728</v>
      </c>
      <c r="J250" s="262">
        <f>+I250/Sayfa1!A1</f>
        <v>1247986.2719191241</v>
      </c>
      <c r="K250" s="239" t="s">
        <v>11</v>
      </c>
      <c r="L250" s="239" t="s">
        <v>477</v>
      </c>
      <c r="M250" s="241" t="s">
        <v>577</v>
      </c>
      <c r="N250" s="241">
        <v>41462</v>
      </c>
      <c r="O250" s="241">
        <f>+N250+210</f>
        <v>41672</v>
      </c>
      <c r="Q250" s="23"/>
      <c r="R250" s="533"/>
    </row>
    <row r="251" spans="1:79" s="60" customFormat="1" x14ac:dyDescent="0.25">
      <c r="A251" s="65"/>
      <c r="B251" s="61"/>
      <c r="C251" s="175"/>
      <c r="D251" s="107"/>
      <c r="E251" s="113"/>
      <c r="F251" s="114"/>
      <c r="G251" s="174"/>
      <c r="H251" s="143"/>
      <c r="I251" s="109"/>
      <c r="J251" s="452"/>
      <c r="K251" s="184"/>
      <c r="L251" s="453"/>
      <c r="M251" s="454"/>
      <c r="N251" s="184"/>
      <c r="O251" s="213"/>
      <c r="P251" s="195"/>
      <c r="Q251" s="23"/>
      <c r="R251" s="446"/>
      <c r="S251" s="446"/>
      <c r="T251" s="446"/>
      <c r="U251" s="446">
        <f>SUM(U247:U250)</f>
        <v>0</v>
      </c>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5"/>
      <c r="AY251" s="195"/>
      <c r="AZ251" s="195"/>
      <c r="BA251" s="195"/>
      <c r="BB251" s="195"/>
      <c r="BC251" s="195"/>
      <c r="BD251" s="195"/>
      <c r="BE251" s="195"/>
      <c r="BF251" s="195"/>
      <c r="BG251" s="195"/>
      <c r="BH251" s="195"/>
      <c r="BI251" s="195"/>
      <c r="BJ251" s="195"/>
      <c r="BK251" s="195"/>
      <c r="BL251" s="195"/>
      <c r="BM251" s="195"/>
      <c r="BN251" s="195"/>
      <c r="BO251" s="195"/>
      <c r="BP251" s="195"/>
      <c r="BQ251" s="195"/>
      <c r="BR251" s="195"/>
      <c r="BS251" s="195"/>
      <c r="BT251" s="195"/>
      <c r="BU251" s="195"/>
      <c r="BV251" s="195"/>
      <c r="BW251" s="195"/>
      <c r="BX251" s="195"/>
      <c r="BY251" s="195"/>
      <c r="BZ251" s="195"/>
      <c r="CA251" s="195"/>
    </row>
    <row r="252" spans="1:79" s="60" customFormat="1" x14ac:dyDescent="0.25">
      <c r="A252" s="65">
        <v>1.2</v>
      </c>
      <c r="B252" s="62" t="s">
        <v>554</v>
      </c>
      <c r="C252" s="111" t="s">
        <v>574</v>
      </c>
      <c r="D252" s="67"/>
      <c r="E252" s="56" t="s">
        <v>20</v>
      </c>
      <c r="F252" s="63" t="s">
        <v>81</v>
      </c>
      <c r="G252" s="448"/>
      <c r="H252" s="449">
        <f>+I252</f>
        <v>1335945.6033191194</v>
      </c>
      <c r="I252" s="448">
        <f>+J252*Sayfa1!A1</f>
        <v>1335945.6033191194</v>
      </c>
      <c r="J252" s="450">
        <v>1000000</v>
      </c>
      <c r="K252" s="239" t="s">
        <v>11</v>
      </c>
      <c r="L252" s="239" t="s">
        <v>477</v>
      </c>
      <c r="M252" s="451">
        <v>41579</v>
      </c>
      <c r="N252" s="242">
        <f>+M252+90</f>
        <v>41669</v>
      </c>
      <c r="O252" s="242">
        <f>+N252+210</f>
        <v>41879</v>
      </c>
      <c r="P252" s="195"/>
      <c r="Q252" s="23"/>
      <c r="R252" s="446"/>
      <c r="S252" s="446"/>
      <c r="T252" s="446"/>
      <c r="U252" s="446"/>
      <c r="V252" s="195"/>
      <c r="W252" s="195"/>
      <c r="X252" s="195"/>
      <c r="Y252" s="195"/>
      <c r="Z252" s="195"/>
      <c r="AA252" s="195"/>
      <c r="AB252" s="195"/>
      <c r="AC252" s="195"/>
      <c r="AD252" s="195"/>
      <c r="AE252" s="195"/>
      <c r="AF252" s="195"/>
      <c r="AG252" s="195"/>
      <c r="AH252" s="195"/>
      <c r="AI252" s="195"/>
      <c r="AJ252" s="195"/>
      <c r="AK252" s="195"/>
      <c r="AL252" s="195"/>
      <c r="AM252" s="195"/>
      <c r="AN252" s="195"/>
      <c r="AO252" s="195"/>
      <c r="AP252" s="195"/>
      <c r="AQ252" s="195"/>
      <c r="AR252" s="195"/>
      <c r="AS252" s="195"/>
      <c r="AT252" s="195"/>
      <c r="AU252" s="195"/>
      <c r="AV252" s="195"/>
      <c r="AW252" s="195"/>
      <c r="AX252" s="195"/>
      <c r="AY252" s="195"/>
      <c r="AZ252" s="195"/>
      <c r="BA252" s="195"/>
      <c r="BB252" s="195"/>
      <c r="BC252" s="195"/>
      <c r="BD252" s="195"/>
      <c r="BE252" s="195"/>
      <c r="BF252" s="195"/>
      <c r="BG252" s="195"/>
      <c r="BH252" s="195"/>
      <c r="BI252" s="195"/>
      <c r="BJ252" s="195"/>
      <c r="BK252" s="195"/>
      <c r="BL252" s="195"/>
      <c r="BM252" s="195"/>
      <c r="BN252" s="195"/>
      <c r="BO252" s="195"/>
      <c r="BP252" s="195"/>
      <c r="BQ252" s="195"/>
      <c r="BR252" s="195"/>
      <c r="BS252" s="195"/>
      <c r="BT252" s="195"/>
      <c r="BU252" s="195"/>
      <c r="BV252" s="195"/>
      <c r="BW252" s="195"/>
      <c r="BX252" s="195"/>
      <c r="BY252" s="195"/>
      <c r="BZ252" s="195"/>
      <c r="CA252" s="195"/>
    </row>
    <row r="253" spans="1:79" s="60" customFormat="1" x14ac:dyDescent="0.25">
      <c r="A253" s="65"/>
      <c r="B253" s="428"/>
      <c r="C253" s="429"/>
      <c r="D253" s="107"/>
      <c r="E253" s="113"/>
      <c r="F253" s="114"/>
      <c r="G253" s="290"/>
      <c r="H253" s="274"/>
      <c r="I253" s="271"/>
      <c r="J253" s="288"/>
      <c r="K253" s="114"/>
      <c r="L253" s="174"/>
      <c r="M253" s="143"/>
      <c r="N253" s="109"/>
      <c r="O253" s="430"/>
      <c r="Q253" s="23"/>
    </row>
    <row r="254" spans="1:79" s="195" customFormat="1" ht="31.2" x14ac:dyDescent="0.25">
      <c r="A254" s="189">
        <v>4.2</v>
      </c>
      <c r="B254" s="219" t="s">
        <v>575</v>
      </c>
      <c r="C254" s="220" t="s">
        <v>557</v>
      </c>
      <c r="D254" s="192"/>
      <c r="E254" s="221" t="s">
        <v>20</v>
      </c>
      <c r="F254" s="221" t="s">
        <v>81</v>
      </c>
      <c r="G254" s="280"/>
      <c r="H254" s="282">
        <f>+H256+H257</f>
        <v>837193.02339518256</v>
      </c>
      <c r="I254" s="282">
        <f>+I256+I257</f>
        <v>837193.02339518256</v>
      </c>
      <c r="J254" s="282">
        <f>+J256+J257</f>
        <v>626667</v>
      </c>
      <c r="K254" s="217"/>
      <c r="L254" s="217"/>
      <c r="M254" s="222"/>
      <c r="N254" s="197"/>
      <c r="O254" s="197"/>
      <c r="Q254" s="23"/>
      <c r="R254" s="532"/>
    </row>
    <row r="255" spans="1:79" s="195" customFormat="1" ht="14.25" customHeight="1" x14ac:dyDescent="0.25">
      <c r="A255" s="199"/>
      <c r="B255" s="223"/>
      <c r="C255" s="192"/>
      <c r="D255" s="192"/>
      <c r="E255" s="204"/>
      <c r="F255" s="193"/>
      <c r="G255" s="273"/>
      <c r="H255" s="283" t="e">
        <f>H182+#REF!+H161+H159+#REF!+H153+H129+H115+H96+H84+H83+H82+H81+H80+H79+H78+H77+H76+H75+H74+H141</f>
        <v>#REF!</v>
      </c>
      <c r="I255" s="274"/>
      <c r="J255" s="274"/>
      <c r="K255" s="193"/>
      <c r="L255" s="193"/>
      <c r="M255" s="183"/>
      <c r="N255" s="183"/>
      <c r="O255" s="194"/>
      <c r="Q255" s="23"/>
      <c r="R255" s="532"/>
    </row>
    <row r="256" spans="1:79" s="195" customFormat="1" ht="33.75" customHeight="1" x14ac:dyDescent="0.25">
      <c r="A256" s="196">
        <v>4.2</v>
      </c>
      <c r="B256" s="440" t="s">
        <v>555</v>
      </c>
      <c r="C256" s="441" t="s">
        <v>558</v>
      </c>
      <c r="D256" s="431"/>
      <c r="E256" s="196" t="s">
        <v>20</v>
      </c>
      <c r="F256" s="196">
        <v>2</v>
      </c>
      <c r="G256" s="277"/>
      <c r="H256" s="277">
        <v>195000</v>
      </c>
      <c r="I256" s="277">
        <f>+H256</f>
        <v>195000</v>
      </c>
      <c r="J256" s="277">
        <f>+I256/Sayfa1!A1</f>
        <v>145964.02691511388</v>
      </c>
      <c r="K256" s="196" t="s">
        <v>18</v>
      </c>
      <c r="L256" s="196" t="s">
        <v>556</v>
      </c>
      <c r="M256" s="181">
        <v>41395</v>
      </c>
      <c r="N256" s="181">
        <f>+M256+30</f>
        <v>41425</v>
      </c>
      <c r="O256" s="181">
        <f>+N256+2*30</f>
        <v>41485</v>
      </c>
      <c r="Q256" s="23"/>
      <c r="R256" s="532"/>
    </row>
    <row r="257" spans="1:20" s="195" customFormat="1" ht="31.5" customHeight="1" x14ac:dyDescent="0.25">
      <c r="A257" s="196">
        <v>4.2</v>
      </c>
      <c r="B257" s="440" t="s">
        <v>576</v>
      </c>
      <c r="C257" s="441" t="s">
        <v>559</v>
      </c>
      <c r="D257" s="431"/>
      <c r="E257" s="196" t="s">
        <v>20</v>
      </c>
      <c r="F257" s="196">
        <v>1</v>
      </c>
      <c r="G257" s="277"/>
      <c r="H257" s="277">
        <f>+I257</f>
        <v>642193.02339518256</v>
      </c>
      <c r="I257" s="277">
        <f>+J257*Sayfa1!A1</f>
        <v>642193.02339518256</v>
      </c>
      <c r="J257" s="277">
        <f>+Sayfa1!E255-J256+23872</f>
        <v>480702.97308488609</v>
      </c>
      <c r="K257" s="196" t="s">
        <v>11</v>
      </c>
      <c r="L257" s="196" t="s">
        <v>556</v>
      </c>
      <c r="M257" s="181">
        <v>41548</v>
      </c>
      <c r="N257" s="181">
        <f>+M257+30</f>
        <v>41578</v>
      </c>
      <c r="O257" s="181">
        <f>+N257+4*30</f>
        <v>41698</v>
      </c>
      <c r="Q257" s="23"/>
      <c r="R257" s="532"/>
    </row>
    <row r="258" spans="1:20" s="60" customFormat="1" x14ac:dyDescent="0.25">
      <c r="A258" s="65"/>
      <c r="B258" s="428"/>
      <c r="C258" s="429"/>
      <c r="D258" s="107"/>
      <c r="E258" s="113"/>
      <c r="F258" s="114"/>
      <c r="G258" s="290"/>
      <c r="H258" s="274"/>
      <c r="I258" s="271"/>
      <c r="J258" s="288"/>
      <c r="K258" s="468"/>
      <c r="L258" s="174"/>
      <c r="M258" s="143"/>
      <c r="N258" s="109"/>
      <c r="O258" s="430"/>
      <c r="Q258" s="23"/>
      <c r="T258" s="530"/>
    </row>
    <row r="259" spans="1:20" x14ac:dyDescent="0.25">
      <c r="B259" s="64"/>
      <c r="C259" s="53" t="s">
        <v>5</v>
      </c>
      <c r="D259" s="54"/>
      <c r="E259" s="4"/>
      <c r="F259" s="5"/>
      <c r="G259" s="267"/>
      <c r="H259" s="291">
        <f>+H225+H19+H254</f>
        <v>140082466.69636089</v>
      </c>
      <c r="I259" s="291">
        <f>+H259</f>
        <v>140082466.69636089</v>
      </c>
      <c r="J259" s="282">
        <f>+J225+J19-0.5+J254</f>
        <v>106099999.88082762</v>
      </c>
      <c r="K259" s="5"/>
      <c r="L259" s="5"/>
      <c r="M259" s="7"/>
      <c r="N259" s="5"/>
      <c r="O259" s="5"/>
      <c r="Q259" s="23"/>
      <c r="R259" s="23"/>
    </row>
    <row r="260" spans="1:20" x14ac:dyDescent="0.25">
      <c r="A260" s="96" t="s">
        <v>19</v>
      </c>
      <c r="B260" s="102" t="s">
        <v>26</v>
      </c>
      <c r="C260" s="98"/>
      <c r="D260" s="98"/>
      <c r="E260" s="99"/>
      <c r="F260" s="98"/>
      <c r="G260" s="260"/>
      <c r="H260" s="260"/>
      <c r="I260" s="260"/>
      <c r="J260" s="260"/>
      <c r="K260" s="98"/>
      <c r="L260" s="98"/>
      <c r="M260" s="98"/>
      <c r="N260" s="98"/>
      <c r="O260" s="101"/>
      <c r="Q260" s="23"/>
    </row>
    <row r="261" spans="1:20" x14ac:dyDescent="0.25">
      <c r="A261" s="136">
        <v>2.2000000000000002</v>
      </c>
      <c r="B261" s="140" t="s">
        <v>69</v>
      </c>
      <c r="C261" s="586" t="s">
        <v>332</v>
      </c>
      <c r="D261" s="587"/>
      <c r="E261" s="141" t="s">
        <v>19</v>
      </c>
      <c r="F261" s="141">
        <v>1</v>
      </c>
      <c r="G261" s="142"/>
      <c r="H261" s="292">
        <f>I261</f>
        <v>925120</v>
      </c>
      <c r="I261" s="142">
        <f>(436250+347750)*1.18</f>
        <v>925120</v>
      </c>
      <c r="J261" s="293">
        <f>+I261/1.5039</f>
        <v>615147.28372897138</v>
      </c>
      <c r="K261" s="141" t="s">
        <v>14</v>
      </c>
      <c r="L261" s="141" t="s">
        <v>10</v>
      </c>
      <c r="M261" s="141" t="s">
        <v>134</v>
      </c>
      <c r="N261" s="135">
        <v>40183</v>
      </c>
      <c r="O261" s="135">
        <f>+O15+12*30+5</f>
        <v>41461</v>
      </c>
      <c r="Q261" s="23"/>
      <c r="R261" s="23"/>
    </row>
    <row r="262" spans="1:20" x14ac:dyDescent="0.25">
      <c r="A262" s="455">
        <v>2.2000000000000002</v>
      </c>
      <c r="B262" s="456" t="s">
        <v>316</v>
      </c>
      <c r="C262" s="457" t="s">
        <v>515</v>
      </c>
      <c r="D262" s="458"/>
      <c r="E262" s="459" t="s">
        <v>19</v>
      </c>
      <c r="F262" s="460">
        <v>1</v>
      </c>
      <c r="G262" s="461"/>
      <c r="H262" s="462">
        <f>Sayfa1!A260*1.18/1.7354</f>
        <v>577964.73435519182</v>
      </c>
      <c r="I262" s="463">
        <f t="shared" ref="I262:I269" si="6">+H262</f>
        <v>577964.73435519182</v>
      </c>
      <c r="J262" s="321">
        <f>+I262/Sayfa1!$A$1</f>
        <v>432625.9489302967</v>
      </c>
      <c r="K262" s="460" t="s">
        <v>14</v>
      </c>
      <c r="L262" s="459" t="s">
        <v>10</v>
      </c>
      <c r="M262" s="400">
        <v>41319</v>
      </c>
      <c r="N262" s="400">
        <f>+M262+120</f>
        <v>41439</v>
      </c>
      <c r="O262" s="400">
        <f>+O16+1*30</f>
        <v>41979</v>
      </c>
      <c r="Q262" s="23"/>
      <c r="R262" s="23"/>
    </row>
    <row r="263" spans="1:20" x14ac:dyDescent="0.25">
      <c r="A263" s="153">
        <v>3.3</v>
      </c>
      <c r="B263" s="153" t="s">
        <v>317</v>
      </c>
      <c r="C263" s="155" t="s">
        <v>532</v>
      </c>
      <c r="D263" s="154"/>
      <c r="E263" s="153" t="s">
        <v>19</v>
      </c>
      <c r="F263" s="153">
        <v>1</v>
      </c>
      <c r="G263" s="163"/>
      <c r="H263" s="163">
        <f>+Sayfa1!C261</f>
        <v>17859.45945945946</v>
      </c>
      <c r="I263" s="163">
        <f t="shared" si="6"/>
        <v>17859.45945945946</v>
      </c>
      <c r="J263" s="163">
        <v>8479.2900000000009</v>
      </c>
      <c r="K263" s="153" t="s">
        <v>138</v>
      </c>
      <c r="L263" s="153" t="s">
        <v>10</v>
      </c>
      <c r="M263" s="152" t="s">
        <v>414</v>
      </c>
      <c r="N263" s="152">
        <v>41187</v>
      </c>
      <c r="O263" s="152">
        <v>41190</v>
      </c>
      <c r="Q263" s="23"/>
      <c r="R263" s="23"/>
    </row>
    <row r="264" spans="1:20" x14ac:dyDescent="0.25">
      <c r="A264" s="153">
        <v>3.3</v>
      </c>
      <c r="B264" s="153" t="s">
        <v>540</v>
      </c>
      <c r="C264" s="155" t="s">
        <v>533</v>
      </c>
      <c r="D264" s="154"/>
      <c r="E264" s="153" t="s">
        <v>19</v>
      </c>
      <c r="F264" s="153">
        <v>1</v>
      </c>
      <c r="G264" s="163"/>
      <c r="H264" s="163">
        <f>+Sayfa1!C262</f>
        <v>17860.097297297296</v>
      </c>
      <c r="I264" s="163">
        <f>+H264</f>
        <v>17860.097297297296</v>
      </c>
      <c r="J264" s="163">
        <v>8054.26</v>
      </c>
      <c r="K264" s="153" t="s">
        <v>581</v>
      </c>
      <c r="L264" s="153" t="s">
        <v>10</v>
      </c>
      <c r="M264" s="152" t="s">
        <v>548</v>
      </c>
      <c r="N264" s="152">
        <v>41312</v>
      </c>
      <c r="O264" s="152">
        <v>41315</v>
      </c>
      <c r="Q264" s="23"/>
      <c r="R264" s="23"/>
    </row>
    <row r="265" spans="1:20" s="243" customFormat="1" x14ac:dyDescent="0.25">
      <c r="A265" s="235">
        <v>4.2</v>
      </c>
      <c r="B265" s="236" t="s">
        <v>71</v>
      </c>
      <c r="C265" s="237" t="s">
        <v>517</v>
      </c>
      <c r="D265" s="238"/>
      <c r="E265" s="239" t="s">
        <v>19</v>
      </c>
      <c r="F265" s="239">
        <v>2</v>
      </c>
      <c r="G265" s="261"/>
      <c r="H265" s="262">
        <f>+Sayfa1!C263</f>
        <v>268450</v>
      </c>
      <c r="I265" s="262">
        <f t="shared" si="6"/>
        <v>268450</v>
      </c>
      <c r="J265" s="262">
        <f>+I265/Sayfa1!$A$1</f>
        <v>200943.81038647343</v>
      </c>
      <c r="K265" s="239" t="s">
        <v>138</v>
      </c>
      <c r="L265" s="239" t="s">
        <v>10</v>
      </c>
      <c r="M265" s="241" t="s">
        <v>461</v>
      </c>
      <c r="N265" s="242">
        <v>41197</v>
      </c>
      <c r="O265" s="242">
        <v>41670</v>
      </c>
      <c r="Q265" s="23"/>
      <c r="R265" s="23"/>
    </row>
    <row r="266" spans="1:20" s="177" customFormat="1" x14ac:dyDescent="0.25">
      <c r="A266" s="172">
        <v>4.2</v>
      </c>
      <c r="B266" s="176" t="s">
        <v>391</v>
      </c>
      <c r="C266" s="308" t="s">
        <v>413</v>
      </c>
      <c r="D266" s="309"/>
      <c r="E266" s="173" t="s">
        <v>19</v>
      </c>
      <c r="F266" s="173">
        <v>1</v>
      </c>
      <c r="G266" s="413"/>
      <c r="H266" s="180">
        <f>+Sayfa1!B264</f>
        <v>47597.095770427564</v>
      </c>
      <c r="I266" s="277">
        <f t="shared" si="6"/>
        <v>47597.095770427564</v>
      </c>
      <c r="J266" s="257">
        <f>+I266/Sayfa1!$A$1</f>
        <v>35628.019323671499</v>
      </c>
      <c r="K266" s="173" t="s">
        <v>138</v>
      </c>
      <c r="L266" s="173" t="s">
        <v>12</v>
      </c>
      <c r="M266" s="181" t="s">
        <v>397</v>
      </c>
      <c r="N266" s="181" t="s">
        <v>371</v>
      </c>
      <c r="O266" s="181" t="s">
        <v>432</v>
      </c>
      <c r="Q266" s="23"/>
      <c r="R266" s="23"/>
    </row>
    <row r="267" spans="1:20" s="177" customFormat="1" x14ac:dyDescent="0.25">
      <c r="A267" s="172">
        <v>5</v>
      </c>
      <c r="B267" s="176" t="s">
        <v>541</v>
      </c>
      <c r="C267" s="308" t="s">
        <v>531</v>
      </c>
      <c r="D267" s="309"/>
      <c r="E267" s="173" t="s">
        <v>19</v>
      </c>
      <c r="F267" s="173">
        <v>2</v>
      </c>
      <c r="G267" s="413"/>
      <c r="H267" s="180">
        <v>200000</v>
      </c>
      <c r="I267" s="277">
        <f>+H267</f>
        <v>200000</v>
      </c>
      <c r="J267" s="257">
        <f>+I267/Sayfa1!$A$1</f>
        <v>149706.69427191166</v>
      </c>
      <c r="K267" s="173" t="s">
        <v>410</v>
      </c>
      <c r="L267" s="173" t="s">
        <v>10</v>
      </c>
      <c r="M267" s="181" t="s">
        <v>396</v>
      </c>
      <c r="N267" s="181">
        <v>41395</v>
      </c>
      <c r="O267" s="181" t="s">
        <v>320</v>
      </c>
      <c r="Q267" s="23"/>
      <c r="R267" s="23"/>
    </row>
    <row r="268" spans="1:20" x14ac:dyDescent="0.25">
      <c r="A268" s="11">
        <v>5</v>
      </c>
      <c r="B268" s="26" t="s">
        <v>542</v>
      </c>
      <c r="C268" s="308" t="s">
        <v>416</v>
      </c>
      <c r="D268" s="309"/>
      <c r="E268" s="27" t="s">
        <v>19</v>
      </c>
      <c r="F268" s="311">
        <v>2</v>
      </c>
      <c r="G268" s="265"/>
      <c r="H268" s="25">
        <v>236000</v>
      </c>
      <c r="I268" s="169">
        <f>+H268</f>
        <v>236000</v>
      </c>
      <c r="J268" s="264">
        <f>+I268/Sayfa1!$A$1</f>
        <v>176653.89924085577</v>
      </c>
      <c r="K268" s="27" t="s">
        <v>410</v>
      </c>
      <c r="L268" s="173" t="s">
        <v>12</v>
      </c>
      <c r="M268" s="181" t="s">
        <v>397</v>
      </c>
      <c r="N268" s="181" t="s">
        <v>371</v>
      </c>
      <c r="O268" s="181" t="s">
        <v>432</v>
      </c>
      <c r="Q268" s="23"/>
      <c r="R268" s="23"/>
    </row>
    <row r="269" spans="1:20" s="243" customFormat="1" ht="64.5" customHeight="1" x14ac:dyDescent="0.25">
      <c r="A269" s="235">
        <v>5</v>
      </c>
      <c r="B269" s="236" t="s">
        <v>412</v>
      </c>
      <c r="C269" s="237" t="s">
        <v>82</v>
      </c>
      <c r="D269" s="238"/>
      <c r="E269" s="239" t="s">
        <v>19</v>
      </c>
      <c r="F269" s="313" t="s">
        <v>81</v>
      </c>
      <c r="G269" s="261"/>
      <c r="H269" s="262">
        <f>+J269*1.5039</f>
        <v>2590860.2678999999</v>
      </c>
      <c r="I269" s="262">
        <f t="shared" si="6"/>
        <v>2590860.2678999999</v>
      </c>
      <c r="J269" s="262">
        <f>1350000-33728+11845-360-78791-66370-3343-7161-72833+602795+10503+10204</f>
        <v>1722761</v>
      </c>
      <c r="K269" s="239" t="s">
        <v>138</v>
      </c>
      <c r="L269" s="239" t="s">
        <v>10</v>
      </c>
      <c r="M269" s="300" t="s">
        <v>135</v>
      </c>
      <c r="N269" s="242" t="s">
        <v>61</v>
      </c>
      <c r="O269" s="242" t="s">
        <v>432</v>
      </c>
      <c r="Q269" s="23"/>
      <c r="R269" s="23"/>
    </row>
    <row r="270" spans="1:20" x14ac:dyDescent="0.25">
      <c r="A270" s="11"/>
      <c r="B270" s="26"/>
      <c r="C270" s="49"/>
      <c r="D270" s="50"/>
      <c r="E270" s="27"/>
      <c r="F270" s="31"/>
      <c r="G270" s="25"/>
      <c r="H270" s="264"/>
      <c r="I270" s="25"/>
      <c r="J270" s="264"/>
      <c r="K270" s="27"/>
      <c r="L270" s="27"/>
      <c r="M270" s="29"/>
      <c r="N270" s="3"/>
      <c r="O270" s="3"/>
      <c r="Q270" s="23"/>
    </row>
    <row r="271" spans="1:20" x14ac:dyDescent="0.25">
      <c r="B271" s="26"/>
      <c r="C271" s="53" t="s">
        <v>5</v>
      </c>
      <c r="D271" s="54"/>
      <c r="E271" s="27"/>
      <c r="F271" s="27"/>
      <c r="G271" s="25"/>
      <c r="H271" s="294">
        <f>SUM(H261:H270)</f>
        <v>4881711.6547823753</v>
      </c>
      <c r="I271" s="294">
        <f>SUM(I261:I269)</f>
        <v>4881711.6547823753</v>
      </c>
      <c r="J271" s="266">
        <f>SUM(J261:J270)</f>
        <v>3350000.2058821805</v>
      </c>
      <c r="K271" s="74"/>
      <c r="L271" s="27"/>
      <c r="M271" s="28"/>
      <c r="N271" s="3"/>
      <c r="O271" s="3"/>
      <c r="Q271" s="23"/>
      <c r="R271" s="23"/>
    </row>
    <row r="272" spans="1:20" x14ac:dyDescent="0.25">
      <c r="A272" s="96" t="s">
        <v>15</v>
      </c>
      <c r="B272" s="102" t="s">
        <v>64</v>
      </c>
      <c r="C272" s="98"/>
      <c r="D272" s="98"/>
      <c r="E272" s="99"/>
      <c r="F272" s="98"/>
      <c r="G272" s="260"/>
      <c r="H272" s="260"/>
      <c r="I272" s="260"/>
      <c r="J272" s="260"/>
      <c r="K272" s="98"/>
      <c r="L272" s="98"/>
      <c r="M272" s="98"/>
      <c r="N272" s="98"/>
      <c r="O272" s="101"/>
      <c r="Q272" s="23"/>
    </row>
    <row r="273" spans="1:18" x14ac:dyDescent="0.25">
      <c r="A273" s="153">
        <v>1.1000000000000001</v>
      </c>
      <c r="B273" s="153" t="s">
        <v>300</v>
      </c>
      <c r="C273" s="155" t="s">
        <v>299</v>
      </c>
      <c r="D273" s="154"/>
      <c r="E273" s="153" t="s">
        <v>15</v>
      </c>
      <c r="F273" s="153">
        <v>1</v>
      </c>
      <c r="G273" s="163"/>
      <c r="H273" s="163">
        <f>183846*1.18/1.5</f>
        <v>144625.51999999999</v>
      </c>
      <c r="I273" s="163">
        <f t="shared" ref="I273:I282" si="7">+H273</f>
        <v>144625.51999999999</v>
      </c>
      <c r="J273" s="163">
        <v>95530.45</v>
      </c>
      <c r="K273" s="153" t="s">
        <v>11</v>
      </c>
      <c r="L273" s="153" t="s">
        <v>10</v>
      </c>
      <c r="M273" s="153" t="s">
        <v>301</v>
      </c>
      <c r="N273" s="153" t="s">
        <v>302</v>
      </c>
      <c r="O273" s="153" t="s">
        <v>303</v>
      </c>
      <c r="Q273" s="23"/>
      <c r="R273" s="23"/>
    </row>
    <row r="274" spans="1:18" s="60" customFormat="1" x14ac:dyDescent="0.25">
      <c r="A274" s="153">
        <v>1.1000000000000001</v>
      </c>
      <c r="B274" s="153" t="s">
        <v>537</v>
      </c>
      <c r="C274" s="155" t="s">
        <v>385</v>
      </c>
      <c r="D274" s="154"/>
      <c r="E274" s="153" t="s">
        <v>15</v>
      </c>
      <c r="F274" s="153">
        <v>1</v>
      </c>
      <c r="G274" s="163"/>
      <c r="H274" s="163">
        <f>+I274</f>
        <v>154489.01</v>
      </c>
      <c r="I274" s="163">
        <f>+J274*1.3</f>
        <v>154489.01</v>
      </c>
      <c r="J274" s="163">
        <v>118837.7</v>
      </c>
      <c r="K274" s="153" t="s">
        <v>11</v>
      </c>
      <c r="L274" s="153" t="s">
        <v>10</v>
      </c>
      <c r="M274" s="153" t="s">
        <v>390</v>
      </c>
      <c r="N274" s="153" t="s">
        <v>386</v>
      </c>
      <c r="O274" s="153" t="s">
        <v>388</v>
      </c>
      <c r="Q274" s="23"/>
      <c r="R274" s="23"/>
    </row>
    <row r="275" spans="1:18" x14ac:dyDescent="0.25">
      <c r="A275" s="314">
        <v>1.1000000000000001</v>
      </c>
      <c r="B275" s="314" t="s">
        <v>538</v>
      </c>
      <c r="C275" s="464" t="s">
        <v>384</v>
      </c>
      <c r="D275" s="465"/>
      <c r="E275" s="314" t="s">
        <v>15</v>
      </c>
      <c r="F275" s="314">
        <v>1</v>
      </c>
      <c r="G275" s="317"/>
      <c r="H275" s="317">
        <f>450027*1.18</f>
        <v>531031.86</v>
      </c>
      <c r="I275" s="317">
        <f>+H275</f>
        <v>531031.86</v>
      </c>
      <c r="J275" s="317">
        <f>+I275/Sayfa1!A1</f>
        <v>397495.121568323</v>
      </c>
      <c r="K275" s="316" t="s">
        <v>11</v>
      </c>
      <c r="L275" s="316" t="s">
        <v>477</v>
      </c>
      <c r="M275" s="318" t="s">
        <v>578</v>
      </c>
      <c r="N275" s="318" t="s">
        <v>387</v>
      </c>
      <c r="O275" s="318" t="s">
        <v>535</v>
      </c>
      <c r="Q275" s="23"/>
      <c r="R275" s="23"/>
    </row>
    <row r="276" spans="1:18" s="177" customFormat="1" x14ac:dyDescent="0.25">
      <c r="A276" s="172">
        <v>1.1000000000000001</v>
      </c>
      <c r="B276" s="172" t="s">
        <v>539</v>
      </c>
      <c r="C276" s="426" t="s">
        <v>544</v>
      </c>
      <c r="D276" s="427"/>
      <c r="E276" s="172" t="s">
        <v>15</v>
      </c>
      <c r="F276" s="172">
        <v>1</v>
      </c>
      <c r="G276" s="257"/>
      <c r="H276" s="257">
        <f>+I276</f>
        <v>219819.16146133456</v>
      </c>
      <c r="I276" s="257">
        <f>+J276*Sayfa1!A1</f>
        <v>219819.16146133456</v>
      </c>
      <c r="J276" s="257">
        <f>52262+74853+37427</f>
        <v>164542</v>
      </c>
      <c r="K276" s="173" t="s">
        <v>11</v>
      </c>
      <c r="L276" s="173" t="s">
        <v>477</v>
      </c>
      <c r="M276" s="181" t="s">
        <v>586</v>
      </c>
      <c r="N276" s="181" t="s">
        <v>534</v>
      </c>
      <c r="O276" s="181" t="s">
        <v>459</v>
      </c>
      <c r="Q276" s="23"/>
      <c r="R276" s="23"/>
    </row>
    <row r="277" spans="1:18" ht="36" customHeight="1" x14ac:dyDescent="0.25">
      <c r="A277" s="153">
        <v>4.0999999999999996</v>
      </c>
      <c r="B277" s="153" t="s">
        <v>318</v>
      </c>
      <c r="C277" s="155" t="s">
        <v>314</v>
      </c>
      <c r="D277" s="154"/>
      <c r="E277" s="153" t="s">
        <v>15</v>
      </c>
      <c r="F277" s="153">
        <v>1</v>
      </c>
      <c r="G277" s="163"/>
      <c r="H277" s="163">
        <f>+I277</f>
        <v>19880.206522991819</v>
      </c>
      <c r="I277" s="163">
        <f>+J277*Sayfa1!A1</f>
        <v>19880.206522991819</v>
      </c>
      <c r="J277" s="163">
        <v>14881</v>
      </c>
      <c r="K277" s="153" t="s">
        <v>18</v>
      </c>
      <c r="L277" s="153" t="s">
        <v>10</v>
      </c>
      <c r="M277" s="153" t="s">
        <v>304</v>
      </c>
      <c r="N277" s="153" t="s">
        <v>305</v>
      </c>
      <c r="O277" s="153" t="s">
        <v>306</v>
      </c>
      <c r="Q277" s="23"/>
      <c r="R277" s="23"/>
    </row>
    <row r="278" spans="1:18" x14ac:dyDescent="0.25">
      <c r="A278" s="11">
        <v>4.0999999999999996</v>
      </c>
      <c r="B278" s="26" t="s">
        <v>319</v>
      </c>
      <c r="C278" s="178" t="s">
        <v>379</v>
      </c>
      <c r="D278" s="179"/>
      <c r="E278" s="27" t="s">
        <v>15</v>
      </c>
      <c r="F278" s="27">
        <v>1</v>
      </c>
      <c r="G278" s="25"/>
      <c r="H278" s="264">
        <f>84500*1.18</f>
        <v>99710</v>
      </c>
      <c r="I278" s="264">
        <f>+H278</f>
        <v>99710</v>
      </c>
      <c r="J278" s="264">
        <f>+I278/Sayfa1!$A$1+4473</f>
        <v>79109.27242926156</v>
      </c>
      <c r="K278" s="27" t="s">
        <v>18</v>
      </c>
      <c r="L278" s="173" t="s">
        <v>10</v>
      </c>
      <c r="M278" s="181">
        <v>41095</v>
      </c>
      <c r="N278" s="181">
        <f>+M278+90</f>
        <v>41185</v>
      </c>
      <c r="O278" s="185">
        <f>+N278+10</f>
        <v>41195</v>
      </c>
      <c r="Q278" s="23"/>
      <c r="R278" s="23"/>
    </row>
    <row r="279" spans="1:18" ht="31.2" x14ac:dyDescent="0.25">
      <c r="A279" s="11">
        <v>4.0999999999999996</v>
      </c>
      <c r="B279" s="26" t="s">
        <v>431</v>
      </c>
      <c r="C279" s="178" t="s">
        <v>383</v>
      </c>
      <c r="D279" s="179"/>
      <c r="E279" s="27" t="s">
        <v>15</v>
      </c>
      <c r="F279" s="27">
        <v>1</v>
      </c>
      <c r="G279" s="25"/>
      <c r="H279" s="264">
        <f>200000*1.18*1.5</f>
        <v>354000</v>
      </c>
      <c r="I279" s="264">
        <f t="shared" si="7"/>
        <v>354000</v>
      </c>
      <c r="J279" s="257">
        <f>+I279/Sayfa1!A1</f>
        <v>264980.84886128362</v>
      </c>
      <c r="K279" s="27" t="s">
        <v>11</v>
      </c>
      <c r="L279" s="27" t="s">
        <v>477</v>
      </c>
      <c r="M279" s="29" t="s">
        <v>397</v>
      </c>
      <c r="N279" s="27" t="s">
        <v>371</v>
      </c>
      <c r="O279" s="27" t="s">
        <v>371</v>
      </c>
      <c r="Q279" s="23"/>
      <c r="R279" s="23"/>
    </row>
    <row r="280" spans="1:18" ht="36" customHeight="1" x14ac:dyDescent="0.25">
      <c r="A280" s="11">
        <v>3.3</v>
      </c>
      <c r="B280" s="26" t="s">
        <v>72</v>
      </c>
      <c r="C280" s="589" t="s">
        <v>382</v>
      </c>
      <c r="D280" s="590"/>
      <c r="E280" s="27" t="s">
        <v>15</v>
      </c>
      <c r="F280" s="27">
        <v>5</v>
      </c>
      <c r="G280" s="25"/>
      <c r="H280" s="264">
        <v>250000</v>
      </c>
      <c r="I280" s="264">
        <f t="shared" si="7"/>
        <v>250000</v>
      </c>
      <c r="J280" s="264">
        <f>+I280/Sayfa1!$A$1-23872</f>
        <v>163261.36783988957</v>
      </c>
      <c r="K280" s="27" t="s">
        <v>18</v>
      </c>
      <c r="L280" s="27" t="s">
        <v>12</v>
      </c>
      <c r="M280" s="27" t="s">
        <v>549</v>
      </c>
      <c r="N280" s="27" t="s">
        <v>549</v>
      </c>
      <c r="O280" s="27" t="s">
        <v>320</v>
      </c>
      <c r="Q280" s="23"/>
      <c r="R280" s="23"/>
    </row>
    <row r="281" spans="1:18" s="243" customFormat="1" ht="31.2" x14ac:dyDescent="0.25">
      <c r="A281" s="235">
        <v>4.0999999999999996</v>
      </c>
      <c r="B281" s="236" t="s">
        <v>73</v>
      </c>
      <c r="C281" s="237" t="s">
        <v>380</v>
      </c>
      <c r="D281" s="238"/>
      <c r="E281" s="239" t="s">
        <v>15</v>
      </c>
      <c r="F281" s="240">
        <v>3</v>
      </c>
      <c r="G281" s="261"/>
      <c r="H281" s="262">
        <f>95000*3</f>
        <v>285000</v>
      </c>
      <c r="I281" s="262">
        <f t="shared" si="7"/>
        <v>285000</v>
      </c>
      <c r="J281" s="262">
        <f>+I281/Sayfa1!$A$1</f>
        <v>213332.03933747413</v>
      </c>
      <c r="K281" s="239" t="s">
        <v>18</v>
      </c>
      <c r="L281" s="239" t="s">
        <v>12</v>
      </c>
      <c r="M281" s="242" t="s">
        <v>187</v>
      </c>
      <c r="N281" s="242" t="s">
        <v>187</v>
      </c>
      <c r="O281" s="242" t="s">
        <v>460</v>
      </c>
      <c r="Q281" s="23"/>
      <c r="R281" s="23"/>
    </row>
    <row r="282" spans="1:18" s="177" customFormat="1" ht="31.2" x14ac:dyDescent="0.25">
      <c r="A282" s="172">
        <v>2.2999999999999998</v>
      </c>
      <c r="B282" s="176" t="s">
        <v>389</v>
      </c>
      <c r="C282" s="303" t="s">
        <v>398</v>
      </c>
      <c r="D282" s="179"/>
      <c r="E282" s="173" t="s">
        <v>15</v>
      </c>
      <c r="F282" s="173">
        <v>1</v>
      </c>
      <c r="G282" s="180"/>
      <c r="H282" s="257">
        <v>90000</v>
      </c>
      <c r="I282" s="257">
        <f t="shared" si="7"/>
        <v>90000</v>
      </c>
      <c r="J282" s="264">
        <f>+I282/Sayfa1!$A$1</f>
        <v>67368.012422360247</v>
      </c>
      <c r="K282" s="173" t="s">
        <v>18</v>
      </c>
      <c r="L282" s="173" t="s">
        <v>12</v>
      </c>
      <c r="M282" s="176" t="s">
        <v>547</v>
      </c>
      <c r="N282" s="176" t="s">
        <v>371</v>
      </c>
      <c r="O282" s="176" t="s">
        <v>549</v>
      </c>
      <c r="Q282" s="23"/>
      <c r="R282" s="23"/>
    </row>
    <row r="283" spans="1:18" s="177" customFormat="1" ht="33" customHeight="1" x14ac:dyDescent="0.25">
      <c r="A283" s="172">
        <v>3.3</v>
      </c>
      <c r="B283" s="176" t="s">
        <v>392</v>
      </c>
      <c r="C283" s="323" t="s">
        <v>378</v>
      </c>
      <c r="D283" s="324"/>
      <c r="E283" s="173" t="s">
        <v>15</v>
      </c>
      <c r="F283" s="173">
        <v>1</v>
      </c>
      <c r="G283" s="180"/>
      <c r="H283" s="257">
        <v>95000</v>
      </c>
      <c r="I283" s="257">
        <f>+H283</f>
        <v>95000</v>
      </c>
      <c r="J283" s="264">
        <f>+I283/Sayfa1!$A$1</f>
        <v>71110.679779158047</v>
      </c>
      <c r="K283" s="173" t="s">
        <v>18</v>
      </c>
      <c r="L283" s="173" t="s">
        <v>12</v>
      </c>
      <c r="M283" s="176" t="s">
        <v>397</v>
      </c>
      <c r="N283" s="176" t="s">
        <v>371</v>
      </c>
      <c r="O283" s="176" t="s">
        <v>415</v>
      </c>
      <c r="Q283" s="23"/>
      <c r="R283" s="23"/>
    </row>
    <row r="284" spans="1:18" s="177" customFormat="1" ht="31.2" x14ac:dyDescent="0.25">
      <c r="A284" s="11">
        <v>1.1000000000000001</v>
      </c>
      <c r="B284" s="176" t="s">
        <v>433</v>
      </c>
      <c r="C284" s="325" t="s">
        <v>434</v>
      </c>
      <c r="D284" s="179"/>
      <c r="E284" s="173" t="s">
        <v>15</v>
      </c>
      <c r="F284" s="173">
        <v>1</v>
      </c>
      <c r="G284" s="180"/>
      <c r="H284" s="257">
        <v>350000</v>
      </c>
      <c r="I284" s="257">
        <v>350000</v>
      </c>
      <c r="J284" s="264">
        <f>+I284/Sayfa1!$A$1+23962-50270+1+23872</f>
        <v>259551.71497584542</v>
      </c>
      <c r="K284" s="173" t="s">
        <v>11</v>
      </c>
      <c r="L284" s="173" t="s">
        <v>12</v>
      </c>
      <c r="M284" s="176" t="s">
        <v>371</v>
      </c>
      <c r="N284" s="176" t="s">
        <v>549</v>
      </c>
      <c r="O284" s="176" t="s">
        <v>415</v>
      </c>
      <c r="Q284" s="23"/>
      <c r="R284" s="23"/>
    </row>
    <row r="285" spans="1:18" x14ac:dyDescent="0.25">
      <c r="B285" s="10"/>
      <c r="C285" s="53" t="s">
        <v>5</v>
      </c>
      <c r="D285" s="54"/>
      <c r="E285" s="4"/>
      <c r="F285" s="5"/>
      <c r="G285" s="267"/>
      <c r="H285" s="291">
        <f>SUM(H273:H284)</f>
        <v>2593555.7579843262</v>
      </c>
      <c r="I285" s="291">
        <f>SUM(I273:I284)</f>
        <v>2593555.7579843262</v>
      </c>
      <c r="J285" s="266">
        <f>SUM(J273:J284)</f>
        <v>1910000.2072135955</v>
      </c>
      <c r="K285" s="5"/>
      <c r="L285" s="5"/>
      <c r="M285" s="7"/>
      <c r="N285" s="5"/>
      <c r="O285" s="5"/>
      <c r="Q285" s="23"/>
      <c r="R285" s="23"/>
    </row>
    <row r="286" spans="1:18" x14ac:dyDescent="0.25">
      <c r="A286" s="96" t="s">
        <v>22</v>
      </c>
      <c r="B286" s="102" t="s">
        <v>24</v>
      </c>
      <c r="C286" s="98"/>
      <c r="D286" s="98"/>
      <c r="E286" s="99"/>
      <c r="F286" s="98"/>
      <c r="G286" s="260"/>
      <c r="H286" s="260"/>
      <c r="I286" s="260"/>
      <c r="J286" s="260"/>
      <c r="K286" s="98"/>
      <c r="L286" s="98"/>
      <c r="M286" s="98"/>
      <c r="N286" s="98"/>
      <c r="O286" s="101"/>
      <c r="Q286" s="23"/>
      <c r="R286" s="23"/>
    </row>
    <row r="287" spans="1:18" x14ac:dyDescent="0.25">
      <c r="A287" s="11">
        <v>5</v>
      </c>
      <c r="B287" s="26" t="s">
        <v>74</v>
      </c>
      <c r="C287" s="49" t="s">
        <v>21</v>
      </c>
      <c r="D287" s="50"/>
      <c r="E287" s="27" t="s">
        <v>22</v>
      </c>
      <c r="F287" s="27">
        <v>5</v>
      </c>
      <c r="G287" s="25"/>
      <c r="H287" s="264">
        <v>526500</v>
      </c>
      <c r="I287" s="25">
        <v>526500</v>
      </c>
      <c r="J287" s="257">
        <f>+I287/1.35</f>
        <v>390000</v>
      </c>
      <c r="K287" s="27" t="s">
        <v>22</v>
      </c>
      <c r="L287" s="27" t="s">
        <v>12</v>
      </c>
      <c r="M287" s="27" t="s">
        <v>60</v>
      </c>
      <c r="N287" s="3"/>
      <c r="O287" s="11" t="s">
        <v>432</v>
      </c>
      <c r="Q287" s="23"/>
      <c r="R287" s="23"/>
    </row>
    <row r="288" spans="1:18" x14ac:dyDescent="0.25">
      <c r="C288" s="6" t="s">
        <v>5</v>
      </c>
      <c r="D288" s="48"/>
      <c r="E288" s="13"/>
      <c r="F288" s="15"/>
      <c r="G288" s="295"/>
      <c r="H288" s="291">
        <f>SUM(H287)</f>
        <v>526500</v>
      </c>
      <c r="I288" s="291">
        <f>SUM(I287)</f>
        <v>526500</v>
      </c>
      <c r="J288" s="291">
        <f>SUM(J287)</f>
        <v>390000</v>
      </c>
      <c r="K288" s="15"/>
      <c r="L288" s="15"/>
      <c r="M288" s="15"/>
      <c r="N288" s="15"/>
      <c r="O288" s="15"/>
    </row>
    <row r="289" spans="2:19" x14ac:dyDescent="0.25">
      <c r="B289" s="13"/>
      <c r="C289" s="5"/>
      <c r="D289" s="164"/>
      <c r="E289" s="13"/>
      <c r="F289" s="164"/>
      <c r="G289" s="295"/>
      <c r="H289" s="267"/>
      <c r="I289" s="267"/>
      <c r="J289" s="267"/>
      <c r="K289" s="15"/>
      <c r="N289" s="15"/>
      <c r="O289" s="15"/>
    </row>
    <row r="290" spans="2:19" x14ac:dyDescent="0.25">
      <c r="B290" s="13"/>
      <c r="C290" s="6" t="s">
        <v>16</v>
      </c>
      <c r="D290" s="165"/>
      <c r="E290" s="13"/>
      <c r="F290" s="42"/>
      <c r="G290" s="295"/>
      <c r="H290" s="296">
        <f>H13</f>
        <v>5712083.7939923508</v>
      </c>
      <c r="I290" s="296">
        <f>I13</f>
        <v>5712083.7939923508</v>
      </c>
      <c r="J290" s="296">
        <f>J13</f>
        <v>4300000.339195624</v>
      </c>
      <c r="K290" s="42"/>
      <c r="L290" s="44"/>
      <c r="N290" s="15"/>
      <c r="O290" s="15"/>
    </row>
    <row r="291" spans="2:19" x14ac:dyDescent="0.25">
      <c r="B291" s="13"/>
      <c r="C291" s="6" t="s">
        <v>478</v>
      </c>
      <c r="D291" s="165"/>
      <c r="E291" s="13"/>
      <c r="F291" s="42"/>
      <c r="G291" s="295"/>
      <c r="H291" s="296">
        <f>H17</f>
        <v>25728619.246702082</v>
      </c>
      <c r="I291" s="296">
        <f>I17</f>
        <v>25728619.246702082</v>
      </c>
      <c r="J291" s="296">
        <f>J17</f>
        <v>18949999.741838578</v>
      </c>
      <c r="K291" s="42"/>
      <c r="L291" s="44"/>
      <c r="N291" s="15"/>
      <c r="O291" s="15"/>
    </row>
    <row r="292" spans="2:19" x14ac:dyDescent="0.25">
      <c r="B292" s="13"/>
      <c r="C292" s="6" t="s">
        <v>62</v>
      </c>
      <c r="D292" s="165"/>
      <c r="E292" s="13"/>
      <c r="F292" s="42"/>
      <c r="G292" s="295"/>
      <c r="H292" s="296">
        <f>H259</f>
        <v>140082466.69636089</v>
      </c>
      <c r="I292" s="296">
        <f>I259</f>
        <v>140082466.69636089</v>
      </c>
      <c r="J292" s="296">
        <f>J259</f>
        <v>106099999.88082762</v>
      </c>
      <c r="K292" s="42"/>
      <c r="L292" s="44"/>
      <c r="M292" s="44"/>
      <c r="N292" s="15"/>
      <c r="O292" s="15"/>
      <c r="Q292" s="15"/>
      <c r="R292" s="15"/>
      <c r="S292" s="15"/>
    </row>
    <row r="293" spans="2:19" x14ac:dyDescent="0.25">
      <c r="B293" s="13"/>
      <c r="C293" s="6" t="s">
        <v>63</v>
      </c>
      <c r="D293" s="165"/>
      <c r="E293" s="13"/>
      <c r="F293" s="42"/>
      <c r="G293" s="295"/>
      <c r="H293" s="296">
        <f>H271</f>
        <v>4881711.6547823753</v>
      </c>
      <c r="I293" s="296">
        <f>I271</f>
        <v>4881711.6547823753</v>
      </c>
      <c r="J293" s="296">
        <f>J271</f>
        <v>3350000.2058821805</v>
      </c>
      <c r="K293" s="42"/>
      <c r="L293" s="44"/>
      <c r="N293" s="15"/>
      <c r="O293" s="15"/>
      <c r="Q293" s="42"/>
      <c r="R293" s="15"/>
      <c r="S293" s="42"/>
    </row>
    <row r="294" spans="2:19" x14ac:dyDescent="0.25">
      <c r="B294" s="13"/>
      <c r="C294" s="6" t="s">
        <v>65</v>
      </c>
      <c r="D294" s="165"/>
      <c r="E294" s="13"/>
      <c r="F294" s="42"/>
      <c r="G294" s="295"/>
      <c r="H294" s="296">
        <f>H285</f>
        <v>2593555.7579843262</v>
      </c>
      <c r="I294" s="296">
        <f>I285</f>
        <v>2593555.7579843262</v>
      </c>
      <c r="J294" s="296">
        <f>J285</f>
        <v>1910000.2072135955</v>
      </c>
      <c r="K294" s="42"/>
      <c r="L294" s="44"/>
      <c r="N294" s="15"/>
      <c r="O294" s="15"/>
      <c r="Q294" s="42"/>
      <c r="R294" s="15"/>
      <c r="S294" s="42"/>
    </row>
    <row r="295" spans="2:19" x14ac:dyDescent="0.25">
      <c r="B295" s="13"/>
      <c r="C295" s="6" t="s">
        <v>27</v>
      </c>
      <c r="D295" s="165"/>
      <c r="E295" s="13"/>
      <c r="F295" s="42"/>
      <c r="G295" s="295"/>
      <c r="H295" s="296">
        <f>H288</f>
        <v>526500</v>
      </c>
      <c r="I295" s="296">
        <f>I288</f>
        <v>526500</v>
      </c>
      <c r="J295" s="296">
        <f>J288</f>
        <v>390000</v>
      </c>
      <c r="K295" s="42"/>
      <c r="L295" s="44"/>
      <c r="N295" s="15"/>
      <c r="O295" s="15"/>
      <c r="Q295" s="42"/>
      <c r="R295" s="15"/>
      <c r="S295" s="42"/>
    </row>
    <row r="296" spans="2:19" x14ac:dyDescent="0.25">
      <c r="B296" s="13"/>
      <c r="C296" s="6" t="s">
        <v>75</v>
      </c>
      <c r="D296" s="165"/>
      <c r="E296" s="13"/>
      <c r="F296" s="42"/>
      <c r="G296" s="295"/>
      <c r="H296" s="291">
        <f>+I296</f>
        <v>0.43610127284862099</v>
      </c>
      <c r="I296" s="291">
        <f>+J296*1.5039+1</f>
        <v>0.43610127284862099</v>
      </c>
      <c r="J296" s="296">
        <f>135000000-J290-J291-J292-J293-J294-J295</f>
        <v>-0.37495759502053261</v>
      </c>
      <c r="K296" s="42"/>
      <c r="L296" s="44"/>
      <c r="M296" s="44"/>
      <c r="N296" s="15"/>
      <c r="O296" s="15"/>
      <c r="Q296" s="42"/>
      <c r="R296" s="15"/>
      <c r="S296" s="42"/>
    </row>
    <row r="297" spans="2:19" x14ac:dyDescent="0.25">
      <c r="B297" s="13"/>
      <c r="C297" s="5"/>
      <c r="D297" s="15"/>
      <c r="E297" s="13"/>
      <c r="F297" s="15"/>
      <c r="G297" s="295"/>
      <c r="H297" s="267"/>
      <c r="I297" s="267"/>
      <c r="J297" s="297"/>
      <c r="K297" s="42"/>
      <c r="M297" s="44"/>
      <c r="N297" s="15"/>
      <c r="O297" s="15"/>
      <c r="Q297" s="42"/>
      <c r="R297" s="15"/>
      <c r="S297" s="42"/>
    </row>
    <row r="298" spans="2:19" x14ac:dyDescent="0.25">
      <c r="B298" s="14"/>
      <c r="C298" s="16" t="s">
        <v>17</v>
      </c>
      <c r="D298" s="45"/>
      <c r="E298" s="14"/>
      <c r="F298" s="8"/>
      <c r="G298" s="310"/>
      <c r="H298" s="298">
        <f>SUM(H290:H296)</f>
        <v>179524937.58592334</v>
      </c>
      <c r="I298" s="298">
        <f>SUM(I290:I296)</f>
        <v>179524937.58592334</v>
      </c>
      <c r="J298" s="299">
        <f>SUM(J290:J296)</f>
        <v>135000000</v>
      </c>
      <c r="K298" s="42"/>
      <c r="N298" s="8"/>
      <c r="O298" s="8"/>
      <c r="Q298" s="42"/>
      <c r="R298" s="15"/>
      <c r="S298" s="42"/>
    </row>
    <row r="299" spans="2:19" x14ac:dyDescent="0.25">
      <c r="B299" s="14"/>
      <c r="C299" s="45"/>
      <c r="D299" s="45"/>
      <c r="E299" s="14"/>
      <c r="F299" s="8"/>
      <c r="G299" s="8"/>
      <c r="H299" s="46"/>
      <c r="I299" s="46"/>
      <c r="J299" s="158"/>
      <c r="K299" s="42"/>
      <c r="L299" s="23"/>
      <c r="M299" s="8"/>
      <c r="N299" s="8"/>
      <c r="O299" s="8"/>
      <c r="Q299" s="42"/>
      <c r="R299" s="15"/>
      <c r="S299" s="42"/>
    </row>
    <row r="300" spans="2:19" ht="18" x14ac:dyDescent="0.25">
      <c r="B300" s="14"/>
      <c r="C300" s="16" t="s">
        <v>479</v>
      </c>
      <c r="D300" s="45"/>
      <c r="E300" s="14"/>
      <c r="F300" s="8"/>
      <c r="G300" s="8"/>
      <c r="H300" s="47">
        <f>H298/1000000</f>
        <v>179.52493758592334</v>
      </c>
      <c r="I300" s="47">
        <f>I298/1000000</f>
        <v>179.52493758592334</v>
      </c>
      <c r="J300" s="159">
        <f>J298/1000000</f>
        <v>135</v>
      </c>
      <c r="K300" s="42"/>
      <c r="L300" s="8"/>
      <c r="M300" s="162"/>
      <c r="N300" s="8"/>
      <c r="O300" s="8"/>
      <c r="Q300" s="42"/>
      <c r="R300" s="15"/>
      <c r="S300" s="42"/>
    </row>
    <row r="301" spans="2:19" x14ac:dyDescent="0.25">
      <c r="B301" s="13"/>
      <c r="C301" s="15"/>
      <c r="D301" s="15"/>
      <c r="E301" s="13"/>
      <c r="F301" s="15"/>
      <c r="G301" s="15"/>
      <c r="H301" s="42"/>
      <c r="I301" s="42"/>
      <c r="J301" s="42"/>
      <c r="K301" s="15"/>
      <c r="L301" s="15"/>
      <c r="M301" s="15"/>
      <c r="N301" s="15"/>
      <c r="O301" s="15"/>
      <c r="Q301" s="42"/>
    </row>
    <row r="302" spans="2:19" x14ac:dyDescent="0.25">
      <c r="B302" s="17" t="s">
        <v>58</v>
      </c>
      <c r="C302" s="15"/>
      <c r="D302" s="15"/>
      <c r="E302" s="13"/>
      <c r="F302" s="15"/>
      <c r="G302" s="15"/>
      <c r="H302" s="42"/>
      <c r="I302" s="42"/>
      <c r="J302" s="42"/>
      <c r="K302" s="15"/>
      <c r="L302" s="15"/>
      <c r="M302" s="15"/>
      <c r="N302" s="15"/>
      <c r="O302" s="15"/>
    </row>
    <row r="303" spans="2:19" x14ac:dyDescent="0.25">
      <c r="B303" s="18" t="s">
        <v>31</v>
      </c>
      <c r="C303" s="577" t="s">
        <v>474</v>
      </c>
      <c r="D303" s="577"/>
      <c r="E303" s="577"/>
      <c r="F303" s="577"/>
      <c r="G303" s="577"/>
      <c r="H303" s="577"/>
      <c r="I303" s="577"/>
      <c r="J303" s="577"/>
      <c r="K303" s="577"/>
      <c r="L303" s="577"/>
      <c r="M303" s="577"/>
      <c r="N303" s="577"/>
      <c r="O303" s="577"/>
    </row>
    <row r="304" spans="2:19" x14ac:dyDescent="0.25">
      <c r="B304" s="72" t="s">
        <v>140</v>
      </c>
      <c r="C304" s="588" t="s">
        <v>141</v>
      </c>
      <c r="D304" s="588"/>
      <c r="E304" s="588"/>
      <c r="F304" s="588"/>
      <c r="G304" s="588"/>
      <c r="H304" s="588"/>
      <c r="I304" s="588"/>
      <c r="J304" s="588"/>
      <c r="K304" s="588"/>
      <c r="L304" s="588"/>
      <c r="M304" s="73"/>
      <c r="N304" s="73"/>
      <c r="O304" s="73"/>
    </row>
    <row r="305" spans="2:15" x14ac:dyDescent="0.25">
      <c r="B305" s="72" t="s">
        <v>179</v>
      </c>
      <c r="C305" s="588" t="s">
        <v>182</v>
      </c>
      <c r="D305" s="588"/>
      <c r="E305" s="588"/>
      <c r="F305" s="588"/>
      <c r="G305" s="588"/>
      <c r="H305" s="588"/>
      <c r="I305" s="588"/>
      <c r="J305" s="588"/>
      <c r="K305" s="588"/>
      <c r="L305" s="588"/>
      <c r="M305" s="73"/>
      <c r="N305" s="73"/>
      <c r="O305" s="73"/>
    </row>
    <row r="306" spans="2:15" x14ac:dyDescent="0.25">
      <c r="B306" s="18" t="s">
        <v>32</v>
      </c>
      <c r="C306" s="577" t="s">
        <v>30</v>
      </c>
      <c r="D306" s="577"/>
      <c r="E306" s="577"/>
      <c r="F306" s="577"/>
      <c r="G306" s="577"/>
      <c r="H306" s="577"/>
      <c r="I306" s="577"/>
      <c r="J306" s="577"/>
      <c r="K306" s="577"/>
      <c r="L306" s="577"/>
      <c r="M306" s="577"/>
      <c r="N306" s="577"/>
      <c r="O306" s="577"/>
    </row>
    <row r="307" spans="2:15" x14ac:dyDescent="0.25">
      <c r="B307" s="18" t="s">
        <v>33</v>
      </c>
      <c r="C307" s="577" t="s">
        <v>476</v>
      </c>
      <c r="D307" s="577"/>
      <c r="E307" s="577"/>
      <c r="F307" s="577"/>
      <c r="G307" s="577"/>
      <c r="H307" s="577"/>
      <c r="I307" s="577"/>
      <c r="J307" s="577"/>
      <c r="K307" s="577"/>
      <c r="L307" s="577"/>
      <c r="M307" s="577"/>
      <c r="N307" s="577"/>
      <c r="O307" s="577"/>
    </row>
    <row r="308" spans="2:15" ht="16.5" customHeight="1" x14ac:dyDescent="0.25">
      <c r="B308" s="18" t="s">
        <v>34</v>
      </c>
      <c r="C308" s="577" t="s">
        <v>240</v>
      </c>
      <c r="D308" s="577"/>
      <c r="E308" s="577"/>
      <c r="F308" s="577"/>
      <c r="G308" s="577"/>
      <c r="H308" s="577"/>
      <c r="I308" s="577"/>
      <c r="J308" s="577"/>
      <c r="K308" s="577"/>
      <c r="L308" s="577"/>
      <c r="M308" s="577"/>
      <c r="N308" s="577"/>
      <c r="O308" s="577"/>
    </row>
    <row r="309" spans="2:15" ht="45" customHeight="1" x14ac:dyDescent="0.25">
      <c r="B309" s="18" t="s">
        <v>76</v>
      </c>
      <c r="C309" s="576" t="s">
        <v>530</v>
      </c>
      <c r="D309" s="576"/>
      <c r="E309" s="576"/>
      <c r="F309" s="39"/>
      <c r="G309" s="39"/>
      <c r="H309" s="39"/>
      <c r="I309" s="39"/>
      <c r="J309" s="39"/>
      <c r="K309" s="39"/>
      <c r="L309" s="39"/>
      <c r="M309" s="39"/>
      <c r="N309" s="39"/>
      <c r="O309" s="39"/>
    </row>
    <row r="310" spans="2:15" ht="18.75" customHeight="1" x14ac:dyDescent="0.25">
      <c r="B310" s="18" t="s">
        <v>233</v>
      </c>
      <c r="C310" s="103" t="s">
        <v>234</v>
      </c>
      <c r="D310" s="103"/>
      <c r="E310" s="103"/>
      <c r="F310" s="103"/>
      <c r="G310" s="103"/>
      <c r="H310" s="103"/>
      <c r="I310" s="103"/>
    </row>
    <row r="311" spans="2:15" ht="18.75" customHeight="1" x14ac:dyDescent="0.25">
      <c r="B311" s="18" t="s">
        <v>272</v>
      </c>
      <c r="C311" s="386" t="s">
        <v>411</v>
      </c>
      <c r="D311" s="103"/>
      <c r="E311" s="103"/>
      <c r="F311" s="103"/>
      <c r="G311" s="103"/>
      <c r="H311" s="103"/>
      <c r="I311" s="103"/>
    </row>
    <row r="312" spans="2:15" ht="18.75" customHeight="1" x14ac:dyDescent="0.25">
      <c r="B312" s="18"/>
      <c r="C312" s="103"/>
      <c r="D312" s="103"/>
      <c r="E312" s="103"/>
      <c r="F312" s="103"/>
      <c r="G312" s="103"/>
      <c r="H312" s="103"/>
      <c r="I312" s="103"/>
    </row>
    <row r="313" spans="2:15" ht="18.75" customHeight="1" x14ac:dyDescent="0.25">
      <c r="B313" s="18"/>
      <c r="C313" s="103"/>
      <c r="D313" s="103"/>
      <c r="E313" s="103"/>
      <c r="F313" s="103"/>
      <c r="G313" s="103"/>
      <c r="H313" s="103"/>
      <c r="I313" s="103"/>
    </row>
    <row r="314" spans="2:15" x14ac:dyDescent="0.25">
      <c r="B314" s="17" t="s">
        <v>56</v>
      </c>
      <c r="C314" s="1"/>
      <c r="D314" s="21" t="s">
        <v>57</v>
      </c>
      <c r="E314" s="12"/>
      <c r="F314" s="1"/>
      <c r="G314" s="1"/>
      <c r="H314" s="43"/>
    </row>
    <row r="315" spans="2:15" x14ac:dyDescent="0.25">
      <c r="B315" s="19" t="s">
        <v>29</v>
      </c>
      <c r="C315" s="20" t="s">
        <v>35</v>
      </c>
      <c r="D315" s="19" t="s">
        <v>46</v>
      </c>
      <c r="E315" s="12" t="s">
        <v>51</v>
      </c>
      <c r="F315" s="1"/>
      <c r="G315" s="1"/>
      <c r="I315" s="314"/>
      <c r="J315" s="12" t="s">
        <v>282</v>
      </c>
    </row>
    <row r="316" spans="2:15" x14ac:dyDescent="0.25">
      <c r="B316" s="19" t="s">
        <v>41</v>
      </c>
      <c r="C316" s="20" t="s">
        <v>36</v>
      </c>
      <c r="D316" s="19" t="s">
        <v>47</v>
      </c>
      <c r="E316" s="12" t="s">
        <v>52</v>
      </c>
      <c r="I316" s="121"/>
      <c r="J316" s="12" t="s">
        <v>241</v>
      </c>
    </row>
    <row r="317" spans="2:15" x14ac:dyDescent="0.25">
      <c r="B317" s="19" t="s">
        <v>42</v>
      </c>
      <c r="C317" s="20" t="s">
        <v>37</v>
      </c>
      <c r="D317" s="19" t="s">
        <v>50</v>
      </c>
      <c r="E317" s="12" t="s">
        <v>8</v>
      </c>
      <c r="I317" s="136"/>
      <c r="J317" s="12" t="s">
        <v>180</v>
      </c>
    </row>
    <row r="318" spans="2:15" x14ac:dyDescent="0.25">
      <c r="B318" s="19" t="s">
        <v>43</v>
      </c>
      <c r="C318" s="20" t="s">
        <v>38</v>
      </c>
      <c r="D318" s="19" t="s">
        <v>49</v>
      </c>
      <c r="E318" s="12" t="s">
        <v>54</v>
      </c>
      <c r="I318" s="146"/>
      <c r="J318" s="12" t="s">
        <v>181</v>
      </c>
    </row>
    <row r="319" spans="2:15" x14ac:dyDescent="0.25">
      <c r="B319" s="19" t="s">
        <v>44</v>
      </c>
      <c r="C319" s="20" t="s">
        <v>39</v>
      </c>
      <c r="D319" s="19" t="s">
        <v>481</v>
      </c>
      <c r="E319" s="12" t="s">
        <v>55</v>
      </c>
      <c r="I319" s="9"/>
      <c r="J319" s="12"/>
    </row>
    <row r="320" spans="2:15" x14ac:dyDescent="0.25">
      <c r="B320" s="19" t="s">
        <v>45</v>
      </c>
      <c r="C320" s="20" t="s">
        <v>40</v>
      </c>
      <c r="D320" s="19" t="s">
        <v>48</v>
      </c>
      <c r="E320" s="12" t="s">
        <v>53</v>
      </c>
    </row>
    <row r="321" spans="1:15" x14ac:dyDescent="0.25">
      <c r="B321" s="19"/>
      <c r="C321" s="20"/>
      <c r="D321" s="19" t="s">
        <v>45</v>
      </c>
      <c r="E321" s="12" t="s">
        <v>40</v>
      </c>
    </row>
    <row r="322" spans="1:15" x14ac:dyDescent="0.25">
      <c r="B322" s="19"/>
      <c r="C322" s="20"/>
      <c r="D322" s="19"/>
      <c r="E322" s="12"/>
    </row>
    <row r="323" spans="1:15" x14ac:dyDescent="0.25">
      <c r="B323" s="19"/>
      <c r="C323" s="20"/>
      <c r="D323" s="19"/>
      <c r="E323" s="20"/>
    </row>
    <row r="324" spans="1:15" x14ac:dyDescent="0.25">
      <c r="H324" s="12"/>
      <c r="I324" s="12"/>
      <c r="J324" s="8"/>
      <c r="K324" s="8"/>
      <c r="L324" s="8"/>
      <c r="M324" s="8"/>
      <c r="N324" s="8"/>
      <c r="O324" s="8"/>
    </row>
    <row r="325" spans="1:15" x14ac:dyDescent="0.25">
      <c r="H325" s="12"/>
      <c r="I325" s="12"/>
      <c r="J325" s="8"/>
      <c r="K325" s="8"/>
      <c r="L325" s="8"/>
      <c r="M325" s="8"/>
      <c r="N325" s="8"/>
      <c r="O325" s="8"/>
    </row>
    <row r="326" spans="1:15" x14ac:dyDescent="0.25">
      <c r="A326" s="156"/>
      <c r="H326" s="12"/>
      <c r="I326" s="12"/>
      <c r="J326" s="8"/>
      <c r="K326" s="8"/>
      <c r="L326" s="8"/>
      <c r="M326" s="8"/>
      <c r="N326" s="8"/>
      <c r="O326" s="8"/>
    </row>
    <row r="327" spans="1:15" x14ac:dyDescent="0.25">
      <c r="H327" s="12"/>
      <c r="I327" s="12"/>
      <c r="J327" s="8"/>
      <c r="K327" s="8"/>
      <c r="L327" s="8"/>
      <c r="M327" s="8"/>
      <c r="N327" s="8"/>
      <c r="O327" s="8"/>
    </row>
    <row r="335" spans="1:15" ht="75" customHeight="1" x14ac:dyDescent="0.25"/>
    <row r="347" spans="1:1" x14ac:dyDescent="0.25">
      <c r="A347" s="8"/>
    </row>
    <row r="348" spans="1:1" x14ac:dyDescent="0.25">
      <c r="A348" s="8"/>
    </row>
    <row r="349" spans="1:1" x14ac:dyDescent="0.25">
      <c r="A349" s="8"/>
    </row>
    <row r="350" spans="1:1" x14ac:dyDescent="0.25">
      <c r="A350" s="8"/>
    </row>
    <row r="351" spans="1:1" x14ac:dyDescent="0.25">
      <c r="A351" s="8"/>
    </row>
    <row r="365" spans="7:7" x14ac:dyDescent="0.25">
      <c r="G365" s="44"/>
    </row>
  </sheetData>
  <customSheetViews>
    <customSheetView guid="{3AB13850-701C-4820-AD57-684822783DA8}" scale="70" showPageBreaks="1" fitToPage="1" printArea="1" showRuler="0">
      <selection activeCell="D324" sqref="D324"/>
      <rowBreaks count="13" manualBreakCount="13">
        <brk id="33" max="14" man="1"/>
        <brk id="72" max="14" man="1"/>
        <brk id="82" max="14" man="1"/>
        <brk id="109" max="14" man="1"/>
        <brk id="141" max="14" man="1"/>
        <brk id="156" max="14" man="1"/>
        <brk id="161" max="14" man="1"/>
        <brk id="189" max="14" man="1"/>
        <brk id="224" max="14" man="1"/>
        <brk id="238" max="14" man="1"/>
        <brk id="253" max="19" man="1"/>
        <brk id="288" max="14" man="1"/>
        <brk id="303" max="14" man="1"/>
      </rowBreaks>
      <pageMargins left="0" right="0" top="0" bottom="0" header="0.511811023622047" footer="0.47244094488188998"/>
      <printOptions horizontalCentered="1"/>
      <pageSetup scale="44" fitToHeight="5" orientation="landscape" r:id="rId1"/>
      <headerFooter alignWithMargins="0">
        <oddFooter>&amp;C&amp;P+2 of 7</oddFooter>
      </headerFooter>
    </customSheetView>
    <customSheetView guid="{AE843321-E62A-4FB5-89CA-294B4C65B762}" scale="75" showPageBreaks="1" printArea="1" view="pageBreakPreview" showRuler="0" topLeftCell="A244">
      <selection activeCell="D324" sqref="D324"/>
      <rowBreaks count="9" manualBreakCount="9">
        <brk id="33" max="14" man="1"/>
        <brk id="72" max="14" man="1"/>
        <brk id="109" max="14" man="1"/>
        <brk id="141" max="14" man="1"/>
        <brk id="156" max="14" man="1"/>
        <brk id="189" max="14" man="1"/>
        <brk id="224" max="14" man="1"/>
        <brk id="253" max="19" man="1"/>
        <brk id="288" max="14" man="1"/>
      </rowBreaks>
      <pageMargins left="0.23622047244094491" right="0.23622047244094491" top="0.98425196850393704" bottom="0.98425196850393704" header="0.51181102362204722" footer="0.47244094488188981"/>
      <printOptions horizontalCentered="1"/>
      <pageSetup scale="44" fitToHeight="6" orientation="landscape" r:id="rId2"/>
      <headerFooter alignWithMargins="0">
        <oddFooter>&amp;C&amp;P+2 of 7</oddFooter>
      </headerFooter>
    </customSheetView>
    <customSheetView guid="{7A95F243-208B-446A-A9F7-7175CA517233}" scale="75" showPageBreaks="1" printArea="1" hiddenRows="1" hiddenColumns="1" view="pageBreakPreview" showRuler="0" topLeftCell="C133">
      <selection activeCell="W175" sqref="W175"/>
      <rowBreaks count="5" manualBreakCount="5">
        <brk id="54" max="22" man="1"/>
        <brk id="96" max="22" man="1"/>
        <brk id="153" max="22" man="1"/>
        <brk id="188" max="22" man="1"/>
        <brk id="207" max="22" man="1"/>
      </rowBreaks>
      <pageMargins left="0.23622047244094491" right="0.23622047244094491" top="0.39370078740157483" bottom="0.39370078740157483" header="0.11811023622047245" footer="7.874015748031496E-2"/>
      <printOptions horizontalCentered="1"/>
      <pageSetup scale="50" fitToHeight="6" orientation="landscape" r:id="rId3"/>
      <headerFooter alignWithMargins="0">
        <oddFooter>&amp;C&amp;P+2 of 7</oddFooter>
      </headerFooter>
    </customSheetView>
    <customSheetView guid="{ECCB89A0-B2FD-43C6-AE6E-2A82A36F1CC0}" scale="70" fitToPage="1" hiddenColumns="1" topLeftCell="A46">
      <pane ySplit="26.466666666666665" topLeftCell="A200"/>
      <selection activeCell="P131" sqref="P131"/>
      <rowBreaks count="54" manualBreakCount="54">
        <brk id="44" max="17" man="1"/>
        <brk id="45" max="17" man="1"/>
        <brk id="52" max="22" man="1"/>
        <brk id="53" max="22" man="1"/>
        <brk id="55" max="22" man="1"/>
        <brk id="72" max="21" man="1"/>
        <brk id="75" max="19" man="1"/>
        <brk id="76" max="21" man="1"/>
        <brk id="78" max="19" man="1"/>
        <brk id="80" max="19" man="1"/>
        <brk id="86" max="19" man="1"/>
        <brk id="88" max="19" man="1"/>
        <brk id="89" max="21" man="1"/>
        <brk id="90" max="22" man="1"/>
        <brk id="91" max="19" man="1"/>
        <brk id="92" max="19" man="1"/>
        <brk id="94" max="19" man="1"/>
        <brk id="98" max="21" man="1"/>
        <brk id="108" max="22" man="1"/>
        <brk id="110" max="22" man="1"/>
        <brk id="128" max="22" man="1"/>
        <brk id="139" max="21" man="1"/>
        <brk id="140" max="22" man="1"/>
        <brk id="143" max="19" man="1"/>
        <brk id="144" max="19" man="1"/>
        <brk id="147" max="21" man="1"/>
        <brk id="151" max="22" man="1"/>
        <brk id="152" max="22" man="1"/>
        <brk id="153" max="22" man="1"/>
        <brk id="155" max="22" man="1"/>
        <brk id="157" max="22" man="1"/>
        <brk id="166" max="22" man="1"/>
        <brk id="168" max="19" man="1"/>
        <brk id="170" max="19" man="1"/>
        <brk id="174" max="19" man="1"/>
        <brk id="175" max="19" man="1"/>
        <brk id="177" max="19" man="1"/>
        <brk id="178" max="19" man="1"/>
        <brk id="184" max="22" man="1"/>
        <brk id="185" max="22" man="1"/>
        <brk id="186" max="22" man="1"/>
        <brk id="189" max="21" man="1"/>
        <brk id="194" max="19" man="1"/>
        <brk id="197" max="19" man="1"/>
        <brk id="199" max="21" man="1"/>
        <brk id="209" max="19" man="1"/>
        <brk id="210" max="21" man="1"/>
        <brk id="220" max="22" man="1"/>
        <brk id="221" max="19" man="1"/>
        <brk id="223" max="19" man="1"/>
        <brk id="231" max="22" man="1"/>
        <brk id="232" max="19" man="1"/>
        <brk id="234" max="19" man="1"/>
        <brk id="236" max="19" man="1"/>
      </rowBreaks>
      <pageMargins left="0.23622047244094491" right="0.23622047244094491" top="0.35433070866141736" bottom="0.27559055118110237" header="0.51181102362204722" footer="0.23622047244094491"/>
      <printOptions horizontalCentered="1"/>
      <pageSetup scale="45" fitToHeight="6" orientation="landscape" r:id="rId4"/>
      <headerFooter alignWithMargins="0">
        <oddFooter>&amp;C&amp;P of &amp;N</oddFooter>
      </headerFooter>
    </customSheetView>
    <customSheetView guid="{C18738E0-1B17-433A-8FC5-25913E085428}" showPageBreaks="1" fitToPage="1" printArea="1" hiddenColumns="1">
      <selection activeCell="G194" sqref="G194"/>
      <rowBreaks count="31" manualBreakCount="31">
        <brk id="43" max="17" man="1"/>
        <brk id="44" max="17" man="1"/>
        <brk id="52" max="22" man="1"/>
        <brk id="54" max="22" man="1"/>
        <brk id="56" max="22" man="1"/>
        <brk id="62" max="21" man="1"/>
        <brk id="68" max="21" man="1"/>
        <brk id="88" max="17" man="1"/>
        <brk id="89" max="17" man="1"/>
        <brk id="90" max="17" man="1"/>
        <brk id="107" max="22" man="1"/>
        <brk id="109" max="22" man="1"/>
        <brk id="111" max="22" man="1"/>
        <brk id="113" max="22" man="1"/>
        <brk id="118" max="21" man="1"/>
        <brk id="131" max="22" man="1"/>
        <brk id="142" max="22" man="1"/>
        <brk id="154" max="22" man="1"/>
        <brk id="157" max="22" man="1"/>
        <brk id="158" max="22" man="1"/>
        <brk id="160" max="22" man="1"/>
        <brk id="162" max="22" man="1"/>
        <brk id="163" max="22" man="1"/>
        <brk id="170" max="15" man="1"/>
        <brk id="175" max="21" man="1"/>
        <brk id="188" max="22" man="1"/>
        <brk id="189" max="22" man="1"/>
        <brk id="191" max="21" man="1"/>
        <brk id="195" max="22" man="1"/>
        <brk id="240" max="22" man="1"/>
        <brk id="243" max="22" man="1"/>
      </rowBreaks>
      <pageMargins left="0.23622047244094499" right="0.23622047244094499" top="0.73622047199999996" bottom="0.48622047200000001" header="0.511811023622047" footer="0.222440945"/>
      <printOptions horizontalCentered="1"/>
      <pageSetup paperSize="8" scale="69" fitToHeight="6" orientation="landscape" r:id="rId5"/>
      <headerFooter alignWithMargins="0">
        <oddFooter>&amp;C&amp;P of &amp;N</oddFooter>
      </headerFooter>
    </customSheetView>
    <customSheetView guid="{F1899CAA-DD89-4E8A-BDC1-328EE12130F5}" scale="70" showPageBreaks="1" fitToPage="1" printArea="1" topLeftCell="E265">
      <selection activeCell="H277" sqref="H277"/>
      <rowBreaks count="86" manualBreakCount="86">
        <brk id="44" max="17" man="1"/>
        <brk id="45" max="17" man="1"/>
        <brk id="52" max="22" man="1"/>
        <brk id="53" max="22" man="1"/>
        <brk id="55" max="22" man="1"/>
        <brk id="65" max="19" man="1"/>
        <brk id="66" max="14" man="1"/>
        <brk id="72" max="21" man="1"/>
        <brk id="75" max="21" man="1"/>
        <brk id="76" max="21" man="1"/>
        <brk id="78" max="19" man="1"/>
        <brk id="80" max="21" man="1"/>
        <brk id="86" max="19" man="1"/>
        <brk id="88" max="19" man="1"/>
        <brk id="89" max="21" man="1"/>
        <brk id="90" max="22" man="1"/>
        <brk id="91" max="19" man="1"/>
        <brk id="92" max="19" man="1"/>
        <brk id="94" max="19" man="1"/>
        <brk id="95" max="21" man="1"/>
        <brk id="96" max="20" man="1"/>
        <brk id="98" max="16383" man="1"/>
        <brk id="101" max="21" man="1"/>
        <brk id="108" max="22" man="1"/>
        <brk id="110" max="16383" man="1"/>
        <brk id="111" max="16383" man="1"/>
        <brk id="128" max="22" man="1"/>
        <brk id="139" max="21" man="1"/>
        <brk id="140" max="22" man="1"/>
        <brk id="142" max="14" man="1"/>
        <brk id="146" max="21" man="1"/>
        <brk id="147" max="16383" man="1"/>
        <brk id="156" max="19" man="1"/>
        <brk id="157" max="19" man="1"/>
        <brk id="183" max="21" man="1"/>
        <brk id="188" max="19" man="1"/>
        <brk id="189" max="21" man="1"/>
        <brk id="196" max="21" man="1"/>
        <brk id="202" max="20" man="1"/>
        <brk id="204" max="21" man="1"/>
        <brk id="218" max="14" man="1"/>
        <brk id="224" max="22" man="1"/>
        <brk id="225" max="22" man="1"/>
        <brk id="226" max="22" man="1"/>
        <brk id="227" max="19" man="1"/>
        <brk id="228" max="22" man="1"/>
        <brk id="230" max="22" man="1"/>
        <brk id="231" max="21" man="1"/>
        <brk id="239" max="22" man="1"/>
        <brk id="241" max="19" man="1"/>
        <brk id="244" max="16383" man="1"/>
        <brk id="245" max="21" man="1"/>
        <brk id="246" max="19" man="1"/>
        <brk id="247" max="21" man="1"/>
        <brk id="258" max="19" man="1"/>
        <brk id="259" max="19" man="1"/>
        <brk id="268" max="22" man="1"/>
        <brk id="269" max="22" man="1"/>
        <brk id="270" max="22" man="1"/>
        <brk id="273" max="21" man="1"/>
        <brk id="276" max="21" man="1"/>
        <brk id="279" max="21" man="1"/>
        <brk id="280" max="21" man="1"/>
        <brk id="281" max="21" man="1"/>
        <brk id="282" max="14" man="1"/>
        <brk id="284" max="19" man="1"/>
        <brk id="286" max="21" man="1"/>
        <brk id="291" max="21" man="1"/>
        <brk id="292" max="19" man="1"/>
        <brk id="293" max="20" man="1"/>
        <brk id="294" max="16383" man="1"/>
        <brk id="296" max="21" man="1"/>
        <brk id="297" max="21" man="1"/>
        <brk id="302" max="21" man="1"/>
        <brk id="305" max="21" man="1"/>
        <brk id="307" max="22" man="1"/>
        <brk id="308" max="21" man="1"/>
        <brk id="310" max="21" man="1"/>
        <brk id="311" max="16383" man="1"/>
        <brk id="313" max="16383" man="1"/>
        <brk id="314" max="21" man="1"/>
        <brk id="317" max="21" man="1"/>
        <brk id="318" max="22" man="1"/>
        <brk id="319" max="16383" man="1"/>
        <brk id="321" max="19" man="1"/>
        <brk id="323" max="21" man="1"/>
      </rowBreaks>
      <pageMargins left="0.23622047244094491" right="0.23622047244094491" top="0.35433070866141736" bottom="0.27559055118110237" header="0.51181102362204722" footer="0.23622047244094491"/>
      <printOptions horizontalCentered="1"/>
      <pageSetup paperSize="9" scale="47" fitToHeight="6" orientation="landscape" r:id="rId6"/>
      <headerFooter alignWithMargins="0">
        <oddFooter>&amp;C&amp;P of &amp;N</oddFooter>
      </headerFooter>
    </customSheetView>
  </customSheetViews>
  <mergeCells count="23">
    <mergeCell ref="A1:O1"/>
    <mergeCell ref="A2:O2"/>
    <mergeCell ref="L4:L5"/>
    <mergeCell ref="M4:M5"/>
    <mergeCell ref="N4:N5"/>
    <mergeCell ref="A4:B4"/>
    <mergeCell ref="K4:K5"/>
    <mergeCell ref="C20:D20"/>
    <mergeCell ref="O4:O5"/>
    <mergeCell ref="C309:E309"/>
    <mergeCell ref="C308:O308"/>
    <mergeCell ref="C307:O307"/>
    <mergeCell ref="E4:E5"/>
    <mergeCell ref="C4:C5"/>
    <mergeCell ref="C306:O306"/>
    <mergeCell ref="C73:D73"/>
    <mergeCell ref="H4:J4"/>
    <mergeCell ref="C261:D261"/>
    <mergeCell ref="C305:L305"/>
    <mergeCell ref="C304:L304"/>
    <mergeCell ref="C280:D280"/>
    <mergeCell ref="C303:O303"/>
    <mergeCell ref="F4:F5"/>
  </mergeCells>
  <phoneticPr fontId="0" type="noConversion"/>
  <printOptions horizontalCentered="1"/>
  <pageMargins left="0" right="0" top="0.75" bottom="0.75" header="0.511811023622047" footer="0.47244094488188998"/>
  <pageSetup scale="44" fitToHeight="6" orientation="landscape" r:id="rId7"/>
  <headerFooter alignWithMargins="0">
    <oddFooter>&amp;C&amp;P+2 of 8</oddFooter>
  </headerFooter>
  <rowBreaks count="13" manualBreakCount="13">
    <brk id="33" max="14" man="1"/>
    <brk id="72" max="14" man="1"/>
    <brk id="82" max="14" man="1"/>
    <brk id="109" max="14" man="1"/>
    <brk id="141" max="14" man="1"/>
    <brk id="156" max="14" man="1"/>
    <brk id="161" max="14" man="1"/>
    <brk id="189" max="14" man="1"/>
    <brk id="224" max="14" man="1"/>
    <brk id="238" max="14" man="1"/>
    <brk id="253" max="19" man="1"/>
    <brk id="288" max="14" man="1"/>
    <brk id="303"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0"/>
  <sheetViews>
    <sheetView workbookViewId="0">
      <selection activeCell="E17" sqref="E17"/>
    </sheetView>
  </sheetViews>
  <sheetFormatPr defaultRowHeight="13.2" x14ac:dyDescent="0.25"/>
  <cols>
    <col min="2" max="2" width="57.5546875" bestFit="1" customWidth="1"/>
    <col min="3" max="3" width="13.6640625" customWidth="1"/>
    <col min="4" max="4" width="21.44140625" customWidth="1"/>
    <col min="5" max="5" width="16.109375" customWidth="1"/>
    <col min="6" max="6" width="12.109375" bestFit="1" customWidth="1"/>
    <col min="7" max="7" width="12.44140625" bestFit="1" customWidth="1"/>
    <col min="8" max="8" width="11" bestFit="1" customWidth="1"/>
    <col min="10" max="10" width="13.6640625" style="410" bestFit="1" customWidth="1"/>
  </cols>
  <sheetData>
    <row r="2" spans="2:8" ht="13.8" thickBot="1" x14ac:dyDescent="0.3"/>
    <row r="3" spans="2:8" ht="63.6" thickTop="1" thickBot="1" x14ac:dyDescent="0.3">
      <c r="B3" s="326"/>
      <c r="C3" s="327" t="s">
        <v>435</v>
      </c>
      <c r="D3" s="327" t="s">
        <v>436</v>
      </c>
      <c r="E3" s="327" t="s">
        <v>437</v>
      </c>
      <c r="F3" s="328" t="s">
        <v>438</v>
      </c>
      <c r="G3" s="12"/>
      <c r="H3" s="12"/>
    </row>
    <row r="4" spans="2:8" ht="15.6" x14ac:dyDescent="0.25">
      <c r="B4" s="329" t="s">
        <v>439</v>
      </c>
      <c r="C4" s="330">
        <v>175.39</v>
      </c>
      <c r="D4" s="331">
        <v>116624034</v>
      </c>
      <c r="E4" s="332">
        <f>SUM(E5:E7)</f>
        <v>107095400.3673718</v>
      </c>
      <c r="F4" s="333">
        <f>+D4-E4</f>
        <v>9528633.6326282024</v>
      </c>
      <c r="G4" s="332">
        <v>107094100.3954249</v>
      </c>
      <c r="H4" s="44"/>
    </row>
    <row r="5" spans="2:8" ht="15.6" x14ac:dyDescent="0.25">
      <c r="B5" s="334" t="s">
        <v>440</v>
      </c>
      <c r="C5" s="335"/>
      <c r="D5" s="336">
        <v>108616374</v>
      </c>
      <c r="E5" s="337">
        <f>+'Procurement Tables ($)'!J19+'Procurement Tables ($)'!J273+'Procurement Tables ($)'!J274+'Procurement Tables ($)'!J275+'Procurement Tables ($)'!J284+'Procurement Tables ($)'!J276</f>
        <v>100733351.43688914</v>
      </c>
      <c r="F5" s="338">
        <f>+D5-E5</f>
        <v>7883022.5631108582</v>
      </c>
      <c r="G5" s="337">
        <v>101469624.75237067</v>
      </c>
      <c r="H5" s="44"/>
    </row>
    <row r="6" spans="2:8" ht="15.6" x14ac:dyDescent="0.25">
      <c r="B6" s="334" t="s">
        <v>441</v>
      </c>
      <c r="C6" s="335"/>
      <c r="D6" s="336">
        <v>6271521</v>
      </c>
      <c r="E6" s="337">
        <f>+'Procurement Tables ($)'!J225+586110</f>
        <v>6362048.9304826558</v>
      </c>
      <c r="F6" s="338">
        <f>+D6-E6</f>
        <v>-90527.930482655764</v>
      </c>
      <c r="G6" s="337">
        <v>5624475.6430542329</v>
      </c>
      <c r="H6" s="44"/>
    </row>
    <row r="7" spans="2:8" ht="16.2" thickBot="1" x14ac:dyDescent="0.3">
      <c r="B7" s="339" t="s">
        <v>442</v>
      </c>
      <c r="C7" s="340"/>
      <c r="D7" s="341">
        <v>1736139</v>
      </c>
      <c r="E7" s="342">
        <v>0</v>
      </c>
      <c r="F7" s="343">
        <f>+D7-E7</f>
        <v>1736139</v>
      </c>
      <c r="G7" s="342">
        <v>0</v>
      </c>
      <c r="H7" s="44"/>
    </row>
    <row r="8" spans="2:8" ht="16.2" thickBot="1" x14ac:dyDescent="0.3">
      <c r="B8" s="344"/>
      <c r="C8" s="345"/>
      <c r="D8" s="346"/>
      <c r="E8" s="347"/>
      <c r="F8" s="348"/>
      <c r="G8" s="347"/>
      <c r="H8" s="44"/>
    </row>
    <row r="9" spans="2:8" ht="15.6" x14ac:dyDescent="0.25">
      <c r="B9" s="349" t="s">
        <v>443</v>
      </c>
      <c r="C9" s="330">
        <v>19.350000000000001</v>
      </c>
      <c r="D9" s="331">
        <v>9729370</v>
      </c>
      <c r="E9" s="332">
        <f>SUM(E10:E12)-1</f>
        <v>21724780.184711788</v>
      </c>
      <c r="F9" s="333">
        <f>+D9-E9</f>
        <v>-11995410.184711788</v>
      </c>
      <c r="G9" s="332">
        <v>21724781.023911234</v>
      </c>
      <c r="H9" s="44"/>
    </row>
    <row r="10" spans="2:8" ht="15.6" x14ac:dyDescent="0.25">
      <c r="B10" s="350" t="s">
        <v>444</v>
      </c>
      <c r="C10" s="335"/>
      <c r="D10" s="336">
        <v>196156</v>
      </c>
      <c r="E10" s="337">
        <v>0</v>
      </c>
      <c r="F10" s="338">
        <f>+D10-E10</f>
        <v>196156</v>
      </c>
      <c r="G10" s="337">
        <v>0</v>
      </c>
      <c r="H10" s="44"/>
    </row>
    <row r="11" spans="2:8" ht="15.6" x14ac:dyDescent="0.25">
      <c r="B11" s="334" t="s">
        <v>445</v>
      </c>
      <c r="C11" s="335"/>
      <c r="D11" s="336">
        <v>9533214</v>
      </c>
      <c r="E11" s="337">
        <f>+'Procurement Tables ($)'!J11+'Procurement Tables ($)'!J15+'Procurement Tables ($)'!J16+'Procurement Tables ($)'!J261+'Procurement Tables ($)'!J262</f>
        <v>20721746.172289427</v>
      </c>
      <c r="F11" s="338">
        <f>+D11-E11</f>
        <v>-11188532.172289427</v>
      </c>
      <c r="G11" s="337">
        <v>20721746.172289427</v>
      </c>
      <c r="H11" s="44"/>
    </row>
    <row r="12" spans="2:8" ht="16.2" thickBot="1" x14ac:dyDescent="0.3">
      <c r="B12" s="351" t="s">
        <v>446</v>
      </c>
      <c r="C12" s="352"/>
      <c r="D12" s="353">
        <v>0</v>
      </c>
      <c r="E12" s="354">
        <f>935667+'Procurement Tables ($)'!J282</f>
        <v>1003035.0124223602</v>
      </c>
      <c r="F12" s="355">
        <f>+D12-E12</f>
        <v>-1003035.0124223602</v>
      </c>
      <c r="G12" s="354">
        <v>1003034.8516218081</v>
      </c>
      <c r="H12" s="44"/>
    </row>
    <row r="13" spans="2:8" ht="16.2" thickBot="1" x14ac:dyDescent="0.3">
      <c r="B13" s="356"/>
      <c r="C13" s="345"/>
      <c r="D13" s="357"/>
      <c r="E13" s="357"/>
      <c r="F13" s="358"/>
      <c r="G13" s="357"/>
      <c r="H13" s="44"/>
    </row>
    <row r="14" spans="2:8" ht="15.6" x14ac:dyDescent="0.25">
      <c r="B14" s="329" t="s">
        <v>447</v>
      </c>
      <c r="C14" s="330">
        <v>6.02</v>
      </c>
      <c r="D14" s="331">
        <v>2432343</v>
      </c>
      <c r="E14" s="332">
        <f>SUM(E15:E17)</f>
        <v>0</v>
      </c>
      <c r="F14" s="333">
        <f>+D14-E14</f>
        <v>2432343</v>
      </c>
      <c r="G14" s="332">
        <v>2250480.8592435601</v>
      </c>
      <c r="H14" s="44"/>
    </row>
    <row r="15" spans="2:8" ht="15.6" x14ac:dyDescent="0.25">
      <c r="B15" s="334" t="s">
        <v>448</v>
      </c>
      <c r="C15" s="335"/>
      <c r="D15" s="336">
        <v>313851</v>
      </c>
      <c r="E15" s="337">
        <v>0</v>
      </c>
      <c r="F15" s="338">
        <f>+D15-E15</f>
        <v>313851</v>
      </c>
      <c r="G15" s="337">
        <v>0</v>
      </c>
      <c r="H15" s="44"/>
    </row>
    <row r="16" spans="2:8" ht="15.6" x14ac:dyDescent="0.25">
      <c r="B16" s="334" t="s">
        <v>449</v>
      </c>
      <c r="C16" s="335"/>
      <c r="D16" s="336">
        <v>941552</v>
      </c>
      <c r="E16" s="337">
        <v>0</v>
      </c>
      <c r="F16" s="338">
        <f>+D16-E16</f>
        <v>941552</v>
      </c>
      <c r="G16" s="337">
        <v>0</v>
      </c>
      <c r="H16" s="44"/>
    </row>
    <row r="17" spans="2:10" ht="16.2" thickBot="1" x14ac:dyDescent="0.3">
      <c r="B17" s="339" t="s">
        <v>450</v>
      </c>
      <c r="C17" s="340"/>
      <c r="D17" s="341">
        <v>1176940</v>
      </c>
      <c r="E17" s="342"/>
      <c r="F17" s="343">
        <f>+D17-E17</f>
        <v>1176940</v>
      </c>
      <c r="G17" s="342">
        <v>2250480.8592435601</v>
      </c>
      <c r="H17" s="44"/>
    </row>
    <row r="18" spans="2:10" ht="16.2" thickBot="1" x14ac:dyDescent="0.3">
      <c r="B18" s="356"/>
      <c r="C18" s="345"/>
      <c r="D18" s="346"/>
      <c r="E18" s="347"/>
      <c r="F18" s="348"/>
      <c r="G18" s="347"/>
      <c r="H18" s="44"/>
    </row>
    <row r="19" spans="2:10" ht="15.6" x14ac:dyDescent="0.25">
      <c r="B19" s="329" t="s">
        <v>451</v>
      </c>
      <c r="C19" s="330">
        <v>4.96</v>
      </c>
      <c r="D19" s="331">
        <v>3295432</v>
      </c>
      <c r="E19" s="332">
        <f>SUM(E20:E22)</f>
        <v>1506652.6701173224</v>
      </c>
      <c r="F19" s="333">
        <f>+D19-E19+1</f>
        <v>1788780.3298826776</v>
      </c>
      <c r="G19" s="332">
        <v>1506652.6701173224</v>
      </c>
      <c r="H19" s="44"/>
    </row>
    <row r="20" spans="2:10" ht="15.6" x14ac:dyDescent="0.25">
      <c r="B20" s="334" t="s">
        <v>452</v>
      </c>
      <c r="C20" s="335"/>
      <c r="D20" s="336">
        <v>470776</v>
      </c>
      <c r="E20" s="337">
        <f>+'Procurement Tables ($)'!J277+'Procurement Tables ($)'!J278+'Procurement Tables ($)'!J279+'Procurement Tables ($)'!J281</f>
        <v>572303.16062801937</v>
      </c>
      <c r="F20" s="338">
        <f>+D20-E20</f>
        <v>-101527.16062801937</v>
      </c>
      <c r="G20" s="337">
        <v>572303.16062801937</v>
      </c>
      <c r="H20" s="44"/>
    </row>
    <row r="21" spans="2:10" ht="15.6" x14ac:dyDescent="0.25">
      <c r="B21" s="334" t="s">
        <v>453</v>
      </c>
      <c r="C21" s="335"/>
      <c r="D21" s="336">
        <v>1184786</v>
      </c>
      <c r="E21" s="337">
        <f>+'Procurement Tables ($)'!J12+'Procurement Tables ($)'!J265+'Procurement Tables ($)'!J266+'Procurement Tables ($)'!J254</f>
        <v>934349.50948930299</v>
      </c>
      <c r="F21" s="338">
        <f>+D21-E21</f>
        <v>250436.49051069701</v>
      </c>
      <c r="G21" s="337">
        <v>934349.50948930299</v>
      </c>
      <c r="H21" s="44"/>
    </row>
    <row r="22" spans="2:10" ht="16.2" thickBot="1" x14ac:dyDescent="0.3">
      <c r="B22" s="339" t="s">
        <v>454</v>
      </c>
      <c r="C22" s="340"/>
      <c r="D22" s="341">
        <v>1639870</v>
      </c>
      <c r="E22" s="342">
        <v>0</v>
      </c>
      <c r="F22" s="343">
        <f>+D22-E22</f>
        <v>1639870</v>
      </c>
      <c r="G22" s="342">
        <v>0</v>
      </c>
      <c r="H22" s="44"/>
    </row>
    <row r="23" spans="2:10" ht="16.2" thickBot="1" x14ac:dyDescent="0.3">
      <c r="B23" s="359"/>
      <c r="C23" s="345"/>
      <c r="D23" s="346"/>
      <c r="E23" s="347"/>
      <c r="F23" s="348"/>
      <c r="G23" s="347"/>
      <c r="H23" s="44"/>
    </row>
    <row r="24" spans="2:10" ht="16.2" thickBot="1" x14ac:dyDescent="0.3">
      <c r="B24" s="360" t="s">
        <v>455</v>
      </c>
      <c r="C24" s="361">
        <v>2.2000000000000002</v>
      </c>
      <c r="D24" s="362">
        <v>1468821</v>
      </c>
      <c r="E24" s="363">
        <f>+'Procurement Tables ($)'!J8+'Procurement Tables ($)'!J268+'Procurement Tables ($)'!J269+'Procurement Tables ($)'!J288+'Procurement Tables ($)'!J267</f>
        <v>2443392.7835127674</v>
      </c>
      <c r="F24" s="364">
        <f>+D24-E24</f>
        <v>-974571.7835127674</v>
      </c>
      <c r="G24" s="363">
        <v>2423985.4426383744</v>
      </c>
      <c r="H24" s="44"/>
    </row>
    <row r="25" spans="2:10" ht="16.2" thickBot="1" x14ac:dyDescent="0.3">
      <c r="B25" s="365"/>
      <c r="C25" s="345"/>
      <c r="D25" s="346"/>
      <c r="E25" s="347"/>
      <c r="F25" s="348"/>
      <c r="G25" s="347"/>
      <c r="H25" s="44"/>
    </row>
    <row r="26" spans="2:10" ht="16.2" thickBot="1" x14ac:dyDescent="0.3">
      <c r="B26" s="366" t="s">
        <v>456</v>
      </c>
      <c r="C26" s="361">
        <v>2.1800000000000002</v>
      </c>
      <c r="D26" s="362">
        <v>1450000</v>
      </c>
      <c r="E26" s="363">
        <v>0</v>
      </c>
      <c r="F26" s="364">
        <f>+D26-E26</f>
        <v>1450000</v>
      </c>
      <c r="G26" s="363">
        <v>0</v>
      </c>
      <c r="H26" s="44"/>
    </row>
    <row r="27" spans="2:10" ht="16.2" thickBot="1" x14ac:dyDescent="0.3">
      <c r="B27" s="367"/>
      <c r="C27" s="368"/>
      <c r="D27" s="369"/>
      <c r="E27" s="368"/>
      <c r="F27" s="370"/>
      <c r="G27" s="368"/>
      <c r="H27" s="44"/>
    </row>
    <row r="28" spans="2:10" ht="15.6" x14ac:dyDescent="0.25">
      <c r="B28" s="367"/>
      <c r="C28" s="345"/>
      <c r="D28" s="371"/>
      <c r="E28" s="345"/>
      <c r="F28" s="372"/>
      <c r="G28" s="345"/>
      <c r="H28" s="44"/>
    </row>
    <row r="29" spans="2:10" ht="16.2" thickBot="1" x14ac:dyDescent="0.3">
      <c r="B29" s="373" t="s">
        <v>6</v>
      </c>
      <c r="C29" s="374">
        <f>SUM(C4:C28)</f>
        <v>210.1</v>
      </c>
      <c r="D29" s="375">
        <f>+D26+D24+D19+D14+D9+D4</f>
        <v>135000000</v>
      </c>
      <c r="E29" s="376">
        <f>+E26+E24+E19+E14+E9+E4</f>
        <v>132770226.00571367</v>
      </c>
      <c r="F29" s="377" t="s">
        <v>242</v>
      </c>
      <c r="G29" s="376">
        <v>135000000.3913354</v>
      </c>
      <c r="H29" s="44"/>
      <c r="J29" s="411"/>
    </row>
    <row r="30" spans="2:10" ht="16.2" thickTop="1" x14ac:dyDescent="0.25">
      <c r="G30" s="44"/>
      <c r="H30" s="12"/>
    </row>
  </sheetData>
  <customSheetViews>
    <customSheetView guid="{3AB13850-701C-4820-AD57-684822783DA8}" showPageBreaks="1">
      <selection activeCell="E17" sqref="E17"/>
      <pageMargins left="0.7" right="0.7" top="0.75" bottom="0.75" header="0.3" footer="0.3"/>
      <pageSetup paperSize="8" orientation="portrait" r:id="rId1"/>
    </customSheetView>
    <customSheetView guid="{AE843321-E62A-4FB5-89CA-294B4C65B762}">
      <selection activeCell="E17" sqref="E17"/>
      <pageMargins left="0.7" right="0.7" top="0.75" bottom="0.75" header="0.3" footer="0.3"/>
    </customSheetView>
    <customSheetView guid="{ECCB89A0-B2FD-43C6-AE6E-2A82A36F1CC0}">
      <selection activeCell="G33" sqref="G33:H33"/>
      <pageMargins left="0.7" right="0.7" top="0.75" bottom="0.75" header="0.3" footer="0.3"/>
    </customSheetView>
    <customSheetView guid="{C18738E0-1B17-433A-8FC5-25913E085428}" showPageBreaks="1">
      <selection activeCell="G33" sqref="G33:H33"/>
      <pageMargins left="0.7" right="0.7" top="0.75" bottom="0.75" header="0.3" footer="0.3"/>
      <pageSetup paperSize="9" orientation="portrait" r:id="rId2"/>
    </customSheetView>
    <customSheetView guid="{F1899CAA-DD89-4E8A-BDC1-328EE12130F5}" showPageBreaks="1" topLeftCell="B1">
      <selection activeCell="B13" sqref="B13"/>
      <pageMargins left="0.7" right="0.7" top="0.75" bottom="0.75" header="0.3" footer="0.3"/>
      <pageSetup paperSize="9" orientation="portrait" r:id="rId3"/>
    </customSheetView>
  </customSheetViews>
  <pageMargins left="0.7" right="0.7" top="0.75" bottom="0.75" header="0.3" footer="0.3"/>
  <pageSetup paperSize="8"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9"/>
  <sheetViews>
    <sheetView topLeftCell="A127" workbookViewId="0">
      <selection activeCell="F19" sqref="F19:G19"/>
    </sheetView>
  </sheetViews>
  <sheetFormatPr defaultRowHeight="13.2" x14ac:dyDescent="0.25"/>
  <sheetData>
    <row r="1" spans="1:5" ht="15.6" x14ac:dyDescent="0.25">
      <c r="A1" s="471">
        <f>2.3184/1.7354</f>
        <v>1.3359456033191195</v>
      </c>
      <c r="B1" s="472">
        <v>1.5</v>
      </c>
      <c r="C1" s="473">
        <v>1.7354000000000001</v>
      </c>
      <c r="D1" s="473">
        <v>100</v>
      </c>
      <c r="E1" s="473">
        <f>+D1/C1/A1</f>
        <v>43.133195307108352</v>
      </c>
    </row>
    <row r="2" spans="1:5" ht="15.6" x14ac:dyDescent="0.25">
      <c r="A2" s="474"/>
      <c r="B2" s="474"/>
      <c r="C2" s="474"/>
      <c r="D2" s="474"/>
      <c r="E2" s="474"/>
    </row>
    <row r="3" spans="1:5" ht="78" x14ac:dyDescent="0.25">
      <c r="A3" s="474"/>
      <c r="B3" s="474"/>
      <c r="C3" s="474"/>
      <c r="D3" s="474" t="s">
        <v>395</v>
      </c>
      <c r="E3" s="474"/>
    </row>
    <row r="4" spans="1:5" ht="15.6" x14ac:dyDescent="0.25">
      <c r="A4" s="475">
        <f>746*4</f>
        <v>2984</v>
      </c>
      <c r="B4" s="475">
        <f>1.5/1.5039</f>
        <v>0.99740674246957906</v>
      </c>
      <c r="C4" s="475">
        <f>1/A1</f>
        <v>0.74853347135955828</v>
      </c>
      <c r="D4" s="475">
        <f>+D1/2.32</f>
        <v>43.103448275862071</v>
      </c>
      <c r="E4" s="475">
        <f>+D1/1.85/A1</f>
        <v>40.461268722138286</v>
      </c>
    </row>
    <row r="5" spans="1:5" ht="15.6" x14ac:dyDescent="0.25">
      <c r="A5" s="476"/>
      <c r="B5" s="476"/>
      <c r="C5" s="476"/>
      <c r="D5" s="476"/>
      <c r="E5" s="476"/>
    </row>
    <row r="6" spans="1:5" ht="15.6" x14ac:dyDescent="0.25">
      <c r="A6" s="477">
        <v>7100</v>
      </c>
      <c r="B6" s="477">
        <f>+A6*1.18</f>
        <v>8378</v>
      </c>
      <c r="C6" s="477"/>
      <c r="D6" s="477">
        <v>4271.1899999999996</v>
      </c>
      <c r="E6" s="477"/>
    </row>
    <row r="7" spans="1:5" ht="15.6" x14ac:dyDescent="0.25">
      <c r="A7" s="478">
        <f>750000/1.18*1.85</f>
        <v>1175847.4576271188</v>
      </c>
      <c r="B7" s="446">
        <f>+A7*1.18</f>
        <v>1387500</v>
      </c>
      <c r="C7" s="446">
        <f>+B7/1.85</f>
        <v>750000</v>
      </c>
      <c r="D7" s="446">
        <f>+E4/D4</f>
        <v>0.9387014343536082</v>
      </c>
      <c r="E7" s="446"/>
    </row>
    <row r="8" spans="1:5" ht="15.6" x14ac:dyDescent="0.25">
      <c r="A8" s="478">
        <v>4000000</v>
      </c>
      <c r="B8" s="446">
        <f>+A8*1.18</f>
        <v>4720000</v>
      </c>
      <c r="C8" s="446">
        <f>+B8/1.85</f>
        <v>2551351.351351351</v>
      </c>
      <c r="D8" s="446"/>
      <c r="E8" s="446"/>
    </row>
    <row r="9" spans="1:5" ht="15.6" x14ac:dyDescent="0.25">
      <c r="A9" s="478">
        <v>650000</v>
      </c>
      <c r="B9" s="446">
        <v>1000000</v>
      </c>
      <c r="C9" s="446"/>
      <c r="D9" s="446"/>
      <c r="E9" s="446"/>
    </row>
    <row r="10" spans="1:5" ht="15.6" x14ac:dyDescent="0.25">
      <c r="A10" s="478">
        <v>100000</v>
      </c>
      <c r="B10" s="446">
        <f>+A10*1.18</f>
        <v>118000</v>
      </c>
      <c r="C10" s="446">
        <f>+B10/1.85</f>
        <v>63783.78378378378</v>
      </c>
      <c r="D10" s="446">
        <f>(+B14/C1)/A1</f>
        <v>6508451.2422360247</v>
      </c>
      <c r="E10" s="446">
        <f>+'Procurement Tables ($)'!J13-4300000</f>
        <v>0.3391956239938736</v>
      </c>
    </row>
    <row r="11" spans="1:5" ht="15.6" x14ac:dyDescent="0.25">
      <c r="A11" s="479"/>
      <c r="B11" s="479"/>
      <c r="C11" s="480">
        <f>+'Procurement Tables ($)'!J13-4250000</f>
        <v>50000.339195623994</v>
      </c>
      <c r="D11" s="479">
        <f>+'Procurement Tables ($)'!J16*2.2</f>
        <v>16772051.872044869</v>
      </c>
      <c r="E11" s="481">
        <f>+'Procurement Tables ($)'!J17-18950000</f>
        <v>-0.25816142186522484</v>
      </c>
    </row>
    <row r="12" spans="1:5" ht="15.6" x14ac:dyDescent="0.25">
      <c r="A12" s="476"/>
      <c r="B12" s="476"/>
      <c r="C12" s="476"/>
      <c r="D12" s="476"/>
      <c r="E12" s="476"/>
    </row>
    <row r="13" spans="1:5" ht="15.6" x14ac:dyDescent="0.25">
      <c r="A13" s="482">
        <f>(18844000*1.3-B13)</f>
        <v>679952</v>
      </c>
      <c r="B13" s="482">
        <v>23817248</v>
      </c>
      <c r="C13" s="482">
        <f>+B13*1.18</f>
        <v>28104352.639999997</v>
      </c>
      <c r="D13" s="482">
        <f>+C13-B15</f>
        <v>17031080.82181818</v>
      </c>
      <c r="E13" s="482">
        <f>+D13/2.3</f>
        <v>7404817.7486166004</v>
      </c>
    </row>
    <row r="14" spans="1:5" ht="15.6" x14ac:dyDescent="0.25">
      <c r="A14" s="483">
        <f>9000000+3000000+3500000+A13-1250000*2.3*1.18</f>
        <v>12787452</v>
      </c>
      <c r="B14" s="484">
        <f>+A14*1.18</f>
        <v>15089193.359999999</v>
      </c>
      <c r="C14" s="484">
        <v>26243</v>
      </c>
      <c r="D14" s="485">
        <v>4593834</v>
      </c>
      <c r="E14" s="486">
        <f>+'Procurement Tables ($)'!J17-20200000</f>
        <v>-1250000.2581614219</v>
      </c>
    </row>
    <row r="15" spans="1:5" ht="15.6" x14ac:dyDescent="0.25">
      <c r="A15" s="487">
        <f>4584824.44+466310</f>
        <v>5051134.4400000004</v>
      </c>
      <c r="B15" s="487">
        <f>12180599/1.1</f>
        <v>11073271.818181816</v>
      </c>
      <c r="C15" s="488">
        <f>'Procurement Tables ($)'!H17-13275000</f>
        <v>12453619.246702082</v>
      </c>
      <c r="D15" s="489">
        <f>+B15/D14</f>
        <v>2.4104640738393717</v>
      </c>
      <c r="E15" s="488">
        <f>+E13*2.3</f>
        <v>17031080.82181818</v>
      </c>
    </row>
    <row r="16" spans="1:5" ht="15.6" x14ac:dyDescent="0.25">
      <c r="A16" s="476"/>
      <c r="B16" s="476"/>
      <c r="C16" s="476"/>
      <c r="D16" s="476"/>
      <c r="E16" s="476"/>
    </row>
    <row r="17" spans="1:5" ht="15.6" x14ac:dyDescent="0.25">
      <c r="A17" s="490">
        <v>109787286</v>
      </c>
      <c r="B17" s="491">
        <v>163345260</v>
      </c>
      <c r="C17" s="491">
        <f>+'Procurement Tables ($)'!H19/50</f>
        <v>2681521.9219437586</v>
      </c>
      <c r="D17" s="491">
        <f>20200-18950</f>
        <v>1250</v>
      </c>
      <c r="E17" s="491"/>
    </row>
    <row r="18" spans="1:5" ht="15.6" x14ac:dyDescent="0.25">
      <c r="A18" s="492">
        <f>+A17-'Procurement Tables ($)'!J19</f>
        <v>10089891.549655035</v>
      </c>
      <c r="B18" s="493">
        <f>+[1]GENEL!$U$13+[2]Sayfa1!$L$43</f>
        <v>12184910.99</v>
      </c>
      <c r="C18" s="493">
        <f>+A18*1.5039</f>
        <v>15174187.901526207</v>
      </c>
      <c r="D18" s="493"/>
      <c r="E18" s="493"/>
    </row>
    <row r="19" spans="1:5" ht="15.6" x14ac:dyDescent="0.25">
      <c r="A19" s="494"/>
      <c r="B19" s="495"/>
      <c r="C19" s="495"/>
      <c r="D19" s="496">
        <f>+'Procurement Tables ($)'!G21/D20</f>
        <v>0</v>
      </c>
      <c r="E19" s="496"/>
    </row>
    <row r="20" spans="1:5" ht="15.6" x14ac:dyDescent="0.25">
      <c r="A20" s="482">
        <v>1672471.15</v>
      </c>
      <c r="B20" s="482">
        <f t="shared" ref="B20:B30" si="0">+A20*1.18</f>
        <v>1973515.9569999997</v>
      </c>
      <c r="C20" s="482"/>
      <c r="D20" s="482">
        <v>873342.08</v>
      </c>
      <c r="E20" s="482"/>
    </row>
    <row r="21" spans="1:5" ht="15.6" x14ac:dyDescent="0.25">
      <c r="A21" s="482">
        <v>1487520.2</v>
      </c>
      <c r="B21" s="482">
        <f t="shared" si="0"/>
        <v>1755273.8359999999</v>
      </c>
      <c r="C21" s="482"/>
      <c r="D21" s="482">
        <v>718658.49</v>
      </c>
      <c r="E21" s="482"/>
    </row>
    <row r="22" spans="1:5" ht="15.6" x14ac:dyDescent="0.25">
      <c r="A22" s="482">
        <v>851410</v>
      </c>
      <c r="B22" s="482">
        <f t="shared" si="0"/>
        <v>1004663.7999999999</v>
      </c>
      <c r="C22" s="482"/>
      <c r="D22" s="482">
        <v>514541.28</v>
      </c>
      <c r="E22" s="482"/>
    </row>
    <row r="23" spans="1:5" ht="15.6" x14ac:dyDescent="0.25">
      <c r="A23" s="482">
        <v>993869.17</v>
      </c>
      <c r="B23" s="482">
        <f t="shared" si="0"/>
        <v>1172765.6206</v>
      </c>
      <c r="C23" s="482"/>
      <c r="D23" s="482">
        <v>563542.49</v>
      </c>
      <c r="E23" s="482"/>
    </row>
    <row r="24" spans="1:5" ht="15.6" x14ac:dyDescent="0.25">
      <c r="A24" s="482">
        <v>850749</v>
      </c>
      <c r="B24" s="482">
        <f t="shared" si="0"/>
        <v>1003883.82</v>
      </c>
      <c r="C24" s="482"/>
      <c r="D24" s="482">
        <v>509911.97</v>
      </c>
      <c r="E24" s="482"/>
    </row>
    <row r="25" spans="1:5" ht="15.6" x14ac:dyDescent="0.25">
      <c r="A25" s="482">
        <v>563820.92000000004</v>
      </c>
      <c r="B25" s="482">
        <f t="shared" si="0"/>
        <v>665308.68559999997</v>
      </c>
      <c r="C25" s="482"/>
      <c r="D25" s="482">
        <v>291499.12</v>
      </c>
      <c r="E25" s="482"/>
    </row>
    <row r="26" spans="1:5" ht="15.6" x14ac:dyDescent="0.25">
      <c r="A26" s="482">
        <v>1215337</v>
      </c>
      <c r="B26" s="482">
        <f t="shared" si="0"/>
        <v>1434097.66</v>
      </c>
      <c r="C26" s="482"/>
      <c r="D26" s="482">
        <v>619171.32999999996</v>
      </c>
      <c r="E26" s="482"/>
    </row>
    <row r="27" spans="1:5" ht="15.6" x14ac:dyDescent="0.25">
      <c r="A27" s="482">
        <v>744630</v>
      </c>
      <c r="B27" s="482">
        <f t="shared" si="0"/>
        <v>878663.39999999991</v>
      </c>
      <c r="C27" s="482"/>
      <c r="D27" s="482">
        <v>404618.33</v>
      </c>
      <c r="E27" s="482"/>
    </row>
    <row r="28" spans="1:5" ht="15.6" x14ac:dyDescent="0.25">
      <c r="A28" s="482">
        <v>1685551.3</v>
      </c>
      <c r="B28" s="482">
        <f t="shared" si="0"/>
        <v>1988950.534</v>
      </c>
      <c r="C28" s="482"/>
      <c r="D28" s="482">
        <v>892336.28</v>
      </c>
      <c r="E28" s="482"/>
    </row>
    <row r="29" spans="1:5" ht="15.6" x14ac:dyDescent="0.25">
      <c r="A29" s="482">
        <v>1369641.25</v>
      </c>
      <c r="B29" s="482">
        <f t="shared" si="0"/>
        <v>1616176.6749999998</v>
      </c>
      <c r="C29" s="482"/>
      <c r="D29" s="482">
        <v>669410.01</v>
      </c>
      <c r="E29" s="482"/>
    </row>
    <row r="30" spans="1:5" ht="15.6" x14ac:dyDescent="0.25">
      <c r="A30" s="482">
        <v>749911</v>
      </c>
      <c r="B30" s="482">
        <f t="shared" si="0"/>
        <v>884894.98</v>
      </c>
      <c r="C30" s="482">
        <f>+B31/1.18</f>
        <v>43.911184200833169</v>
      </c>
      <c r="D30" s="482">
        <v>454957.56</v>
      </c>
      <c r="E30" s="482"/>
    </row>
    <row r="31" spans="1:5" ht="15.6" x14ac:dyDescent="0.25">
      <c r="A31" s="497">
        <f>SUM(A20:A30)</f>
        <v>12184910.99</v>
      </c>
      <c r="B31" s="495">
        <f>+C32/B32</f>
        <v>51.815197356983134</v>
      </c>
      <c r="C31" s="495">
        <f>SUM('Procurement Tables ($)'!H22:H32)</f>
        <v>9585463.3121333327</v>
      </c>
      <c r="D31" s="495"/>
      <c r="E31" s="495"/>
    </row>
    <row r="32" spans="1:5" ht="15.6" x14ac:dyDescent="0.25">
      <c r="A32" s="494"/>
      <c r="B32" s="495">
        <v>1026052</v>
      </c>
      <c r="C32" s="495">
        <f>+'Procurement Tables ($)'!H44+'Procurement Tables ($)'!H63+'Procurement Tables ($)'!H78+'Procurement Tables ($)'!H91+'Procurement Tables ($)'!H32+'Procurement Tables ($)'!H31+'Procurement Tables ($)'!H30+'Procurement Tables ($)'!H29+'Procurement Tables ($)'!H28+'Procurement Tables ($)'!H27+'Procurement Tables ($)'!H26+'Procurement Tables ($)'!H25+'Procurement Tables ($)'!H24+'Procurement Tables ($)'!H23+'Procurement Tables ($)'!H22</f>
        <v>53165086.878527261</v>
      </c>
      <c r="D32" s="495"/>
      <c r="E32" s="495"/>
    </row>
    <row r="33" spans="1:5" ht="15.6" x14ac:dyDescent="0.25">
      <c r="A33" s="482">
        <v>1091004.3999999999</v>
      </c>
      <c r="B33" s="482">
        <f t="shared" ref="B33:B51" si="1">+A33*1.18</f>
        <v>1287385.1919999998</v>
      </c>
      <c r="C33" s="482">
        <f>+'Procurement Tables ($)'!G35/57</f>
        <v>14139.296466520687</v>
      </c>
      <c r="D33" s="482">
        <v>603272.99</v>
      </c>
      <c r="E33" s="498">
        <f>IF(D33&gt;0,D33*1,'Procurement Tables ($)'!G35/1.5039)</f>
        <v>603272.99</v>
      </c>
    </row>
    <row r="34" spans="1:5" ht="15.6" x14ac:dyDescent="0.25">
      <c r="A34" s="482">
        <v>1684688.3</v>
      </c>
      <c r="B34" s="482">
        <f t="shared" si="1"/>
        <v>1987932.1939999999</v>
      </c>
      <c r="C34" s="482">
        <f>+'Procurement Tables ($)'!G36/57</f>
        <v>19773.925956460818</v>
      </c>
      <c r="D34" s="482">
        <v>843682.39</v>
      </c>
      <c r="E34" s="498">
        <f>IF(D34&gt;0,D34*1,'Procurement Tables ($)'!G36/1.5039)</f>
        <v>843682.39</v>
      </c>
    </row>
    <row r="35" spans="1:5" ht="15.6" x14ac:dyDescent="0.25">
      <c r="A35" s="482">
        <v>1841342.6</v>
      </c>
      <c r="B35" s="482">
        <f t="shared" si="1"/>
        <v>2172784.2680000002</v>
      </c>
      <c r="C35" s="482">
        <f>+'Procurement Tables ($)'!G37/57</f>
        <v>21036.389864068951</v>
      </c>
      <c r="D35" s="482">
        <v>897547.19</v>
      </c>
      <c r="E35" s="498">
        <f>IF(D35&gt;0,D35*1,'Procurement Tables ($)'!G37/1.5039)</f>
        <v>897547.19</v>
      </c>
    </row>
    <row r="36" spans="1:5" ht="15.6" x14ac:dyDescent="0.25">
      <c r="A36" s="482">
        <v>1449848.9</v>
      </c>
      <c r="B36" s="482">
        <f t="shared" si="1"/>
        <v>1710821.7019999998</v>
      </c>
      <c r="C36" s="482">
        <f>+'Procurement Tables ($)'!G38/57</f>
        <v>18144.792090402334</v>
      </c>
      <c r="D36" s="482">
        <v>774173.1</v>
      </c>
      <c r="E36" s="498">
        <f>IF(D36&gt;0,D36*1,'Procurement Tables ($)'!G38/1.5039)</f>
        <v>774173.1</v>
      </c>
    </row>
    <row r="37" spans="1:5" ht="15.6" x14ac:dyDescent="0.25">
      <c r="A37" s="482">
        <v>1652274</v>
      </c>
      <c r="B37" s="482">
        <f t="shared" si="1"/>
        <v>1949683.3199999998</v>
      </c>
      <c r="C37" s="482">
        <f>+'Procurement Tables ($)'!G39/57</f>
        <v>20808.940671951863</v>
      </c>
      <c r="D37" s="482">
        <v>887842.75</v>
      </c>
      <c r="E37" s="498">
        <f>IF(D37&gt;0,D37*1,'Procurement Tables ($)'!G39/1.5039)</f>
        <v>887842.75</v>
      </c>
    </row>
    <row r="38" spans="1:5" ht="15.6" x14ac:dyDescent="0.25">
      <c r="A38" s="482">
        <v>2373552</v>
      </c>
      <c r="B38" s="482">
        <f t="shared" si="1"/>
        <v>2800791.36</v>
      </c>
      <c r="C38" s="482">
        <f>+'Procurement Tables ($)'!G40/57</f>
        <v>28682.908432334723</v>
      </c>
      <c r="D38" s="482">
        <v>1223796.67</v>
      </c>
      <c r="E38" s="498">
        <f>IF(D38&gt;0,D38*1,'Procurement Tables ($)'!G40/1.5039)</f>
        <v>1223796.67</v>
      </c>
    </row>
    <row r="39" spans="1:5" ht="15.6" x14ac:dyDescent="0.25">
      <c r="A39" s="482">
        <v>1855766.35</v>
      </c>
      <c r="B39" s="482">
        <f t="shared" si="1"/>
        <v>2189804.2930000001</v>
      </c>
      <c r="C39" s="482">
        <f>+'Procurement Tables ($)'!G41/57</f>
        <v>22056.420894924879</v>
      </c>
      <c r="D39" s="482">
        <v>941068.25</v>
      </c>
      <c r="E39" s="498">
        <f>IF(D39&gt;0,D39*1,'Procurement Tables ($)'!G41/1.5039)</f>
        <v>941068.25</v>
      </c>
    </row>
    <row r="40" spans="1:5" ht="15.6" x14ac:dyDescent="0.25">
      <c r="A40" s="482">
        <v>3389627</v>
      </c>
      <c r="B40" s="482">
        <f t="shared" si="1"/>
        <v>3999759.86</v>
      </c>
      <c r="C40" s="482">
        <f>+'Procurement Tables ($)'!G42/57</f>
        <v>41759.540796904097</v>
      </c>
      <c r="D40" s="482">
        <v>1781729.6</v>
      </c>
      <c r="E40" s="498">
        <f>IF(D40&gt;0,D40*1,'Procurement Tables ($)'!G42/1.5039)</f>
        <v>1781729.6</v>
      </c>
    </row>
    <row r="41" spans="1:5" ht="15.6" x14ac:dyDescent="0.25">
      <c r="A41" s="482">
        <v>1053467</v>
      </c>
      <c r="B41" s="482">
        <f t="shared" si="1"/>
        <v>1243091.0599999998</v>
      </c>
      <c r="C41" s="482">
        <f>+'Procurement Tables ($)'!G43/57</f>
        <v>11645.881264322497</v>
      </c>
      <c r="D41" s="482">
        <v>496887.92</v>
      </c>
      <c r="E41" s="498">
        <f>IF(D41&gt;0,D41*1,'Procurement Tables ($)'!G43/1.5039)</f>
        <v>496887.92</v>
      </c>
    </row>
    <row r="42" spans="1:5" ht="15.6" x14ac:dyDescent="0.25">
      <c r="A42" s="482">
        <v>1128568.7</v>
      </c>
      <c r="B42" s="482">
        <f t="shared" si="1"/>
        <v>1331711.0659999999</v>
      </c>
      <c r="C42" s="482">
        <f>+'Procurement Tables ($)'!G44/57</f>
        <v>12368.453459660444</v>
      </c>
      <c r="D42" s="482">
        <v>527717.48</v>
      </c>
      <c r="E42" s="498">
        <f>IF(D42&gt;0,D42*1,'Procurement Tables ($)'!G44/1.5039)</f>
        <v>527717.48</v>
      </c>
    </row>
    <row r="43" spans="1:5" ht="15.6" x14ac:dyDescent="0.25">
      <c r="A43" s="482">
        <v>2575048</v>
      </c>
      <c r="B43" s="482">
        <f t="shared" si="1"/>
        <v>3038556.6399999997</v>
      </c>
      <c r="C43" s="482">
        <f>+'Procurement Tables ($)'!G45/57</f>
        <v>31894.30134887755</v>
      </c>
      <c r="D43" s="482">
        <v>1360815.27</v>
      </c>
      <c r="E43" s="498">
        <f>IF(D43&gt;0,D43*1,'Procurement Tables ($)'!G45/1.5039)</f>
        <v>1360815.27</v>
      </c>
    </row>
    <row r="44" spans="1:5" ht="15.6" x14ac:dyDescent="0.25">
      <c r="A44" s="482">
        <v>1131580.2</v>
      </c>
      <c r="B44" s="482">
        <f t="shared" si="1"/>
        <v>1335264.6359999999</v>
      </c>
      <c r="C44" s="482">
        <f>+'Procurement Tables ($)'!G46/57</f>
        <v>13728.595381619889</v>
      </c>
      <c r="D44" s="482">
        <v>585749.85</v>
      </c>
      <c r="E44" s="498">
        <f>IF(D44&gt;0,D44*1,'Procurement Tables ($)'!G46/1.5039)</f>
        <v>585749.85</v>
      </c>
    </row>
    <row r="45" spans="1:5" ht="15.6" x14ac:dyDescent="0.25">
      <c r="A45" s="482">
        <v>868062.6</v>
      </c>
      <c r="B45" s="482">
        <f t="shared" si="1"/>
        <v>1024313.8679999999</v>
      </c>
      <c r="C45" s="482">
        <f>+'Procurement Tables ($)'!G47/57</f>
        <v>9675.5642350315102</v>
      </c>
      <c r="D45" s="482">
        <v>412821.57</v>
      </c>
      <c r="E45" s="498">
        <f>IF(D45&gt;0,D45*1,'Procurement Tables ($)'!G47/1.5039)</f>
        <v>412821.57</v>
      </c>
    </row>
    <row r="46" spans="1:5" ht="15.6" x14ac:dyDescent="0.25">
      <c r="A46" s="482">
        <v>736685.15</v>
      </c>
      <c r="B46" s="482">
        <f t="shared" si="1"/>
        <v>869288.47699999996</v>
      </c>
      <c r="C46" s="482">
        <f>+'Procurement Tables ($)'!G48/57</f>
        <v>8960.1027859495462</v>
      </c>
      <c r="D46" s="482">
        <v>382295.4</v>
      </c>
      <c r="E46" s="498">
        <f>IF(D46&gt;0,D46*1,'Procurement Tables ($)'!G48/1.5039)</f>
        <v>382295.4</v>
      </c>
    </row>
    <row r="47" spans="1:5" ht="15.6" x14ac:dyDescent="0.25">
      <c r="A47" s="482">
        <v>1500038.5</v>
      </c>
      <c r="B47" s="482">
        <f t="shared" si="1"/>
        <v>1770045.43</v>
      </c>
      <c r="C47" s="482">
        <f>+'Procurement Tables ($)'!G49/57</f>
        <v>17528.060771428398</v>
      </c>
      <c r="D47" s="482">
        <v>747859.39</v>
      </c>
      <c r="E47" s="498">
        <f>IF(D47&gt;0,D47*1,'Procurement Tables ($)'!G49/1.5039)</f>
        <v>747859.39</v>
      </c>
    </row>
    <row r="48" spans="1:5" ht="15.6" x14ac:dyDescent="0.25">
      <c r="A48" s="482">
        <v>752333</v>
      </c>
      <c r="B48" s="482">
        <f t="shared" si="1"/>
        <v>887752.94</v>
      </c>
      <c r="C48" s="482">
        <f>+'Procurement Tables ($)'!G50/57</f>
        <v>8534.7885655362334</v>
      </c>
      <c r="D48" s="482">
        <v>364148.77</v>
      </c>
      <c r="E48" s="498">
        <f>IF(D48&gt;0,D48*1,'Procurement Tables ($)'!G50/1.5039)</f>
        <v>364148.77</v>
      </c>
    </row>
    <row r="49" spans="1:5" ht="15.6" x14ac:dyDescent="0.25">
      <c r="A49" s="482">
        <v>1286714</v>
      </c>
      <c r="B49" s="482">
        <f t="shared" si="1"/>
        <v>1518322.52</v>
      </c>
      <c r="C49" s="482">
        <f>+'Procurement Tables ($)'!G51/57</f>
        <v>14298.310321661016</v>
      </c>
      <c r="D49" s="482">
        <v>610057.54</v>
      </c>
      <c r="E49" s="498">
        <f>IF(D49&gt;0,D49*1,'Procurement Tables ($)'!G51/1.5039)</f>
        <v>610057.54</v>
      </c>
    </row>
    <row r="50" spans="1:5" ht="15.6" x14ac:dyDescent="0.25">
      <c r="A50" s="482">
        <v>1503376.8</v>
      </c>
      <c r="B50" s="482">
        <f t="shared" si="1"/>
        <v>1773984.6240000001</v>
      </c>
      <c r="C50" s="482">
        <f>+'Procurement Tables ($)'!G52/57</f>
        <v>21588.869230815886</v>
      </c>
      <c r="D50" s="482">
        <v>921119.5</v>
      </c>
      <c r="E50" s="498">
        <f>IF(D50&gt;0,D50*1,'Procurement Tables ($)'!G52/1.5039)</f>
        <v>921119.5</v>
      </c>
    </row>
    <row r="51" spans="1:5" ht="15.6" x14ac:dyDescent="0.25">
      <c r="A51" s="482">
        <v>1633793.5</v>
      </c>
      <c r="B51" s="482">
        <f t="shared" si="1"/>
        <v>1927876.3299999998</v>
      </c>
      <c r="C51" s="482">
        <f>+'Procurement Tables ($)'!G53/57</f>
        <v>19114.115548061116</v>
      </c>
      <c r="D51" s="482">
        <v>815530.65</v>
      </c>
      <c r="E51" s="498">
        <f>IF(D51&gt;0,D51*1,'Procurement Tables ($)'!G53/1.5039)</f>
        <v>815530.65</v>
      </c>
    </row>
    <row r="52" spans="1:5" ht="15.6" x14ac:dyDescent="0.25">
      <c r="A52" s="493">
        <f>SUM(A33:A51)</f>
        <v>29507771</v>
      </c>
      <c r="B52" s="493"/>
      <c r="C52" s="493">
        <f>SUM('Procurement Tables ($)'!G35:G53)</f>
        <v>20277137.710932348</v>
      </c>
      <c r="D52" s="493">
        <f>SUM(D33:D51)</f>
        <v>15178116.279999999</v>
      </c>
      <c r="E52" s="493">
        <f>SUM(E33:E51)</f>
        <v>15178116.279999999</v>
      </c>
    </row>
    <row r="53" spans="1:5" ht="15.6" x14ac:dyDescent="0.25">
      <c r="A53" s="494"/>
      <c r="B53" s="495"/>
      <c r="C53" s="495"/>
      <c r="D53" s="495"/>
      <c r="E53" s="495"/>
    </row>
    <row r="54" spans="1:5" ht="15.6" x14ac:dyDescent="0.25">
      <c r="A54" s="482">
        <v>1318393.5</v>
      </c>
      <c r="B54" s="482">
        <f t="shared" ref="B54:B69" si="2">+A54*1.18</f>
        <v>1555704.3299999998</v>
      </c>
      <c r="C54" s="482">
        <f>+'Procurement Tables ($)'!G56/57</f>
        <v>15414.029745424989</v>
      </c>
      <c r="D54" s="482">
        <v>657661.28</v>
      </c>
      <c r="E54" s="498">
        <f>IF(D54&gt;0,D54*1,'Procurement Tables ($)'!G56/1.5039)</f>
        <v>657661.28</v>
      </c>
    </row>
    <row r="55" spans="1:5" ht="15.6" x14ac:dyDescent="0.25">
      <c r="A55" s="482">
        <v>680162.53</v>
      </c>
      <c r="B55" s="482">
        <f t="shared" si="2"/>
        <v>802591.78539999994</v>
      </c>
      <c r="C55" s="482">
        <f>+'Procurement Tables ($)'!G57/57</f>
        <v>8507.2101951317145</v>
      </c>
      <c r="D55" s="482">
        <v>362972.1</v>
      </c>
      <c r="E55" s="498">
        <f>IF(D55&gt;0,D55*1,'Procurement Tables ($)'!G57/1.5039)</f>
        <v>362972.1</v>
      </c>
    </row>
    <row r="56" spans="1:5" ht="15.6" x14ac:dyDescent="0.25">
      <c r="A56" s="482">
        <v>966898.5</v>
      </c>
      <c r="B56" s="482">
        <f t="shared" si="2"/>
        <v>1140940.23</v>
      </c>
      <c r="C56" s="482">
        <f>+'Procurement Tables ($)'!G58/57</f>
        <v>13226.314991235147</v>
      </c>
      <c r="D56" s="482">
        <v>564319.35</v>
      </c>
      <c r="E56" s="498">
        <f>IF(D56&gt;0,D56*1,'Procurement Tables ($)'!G58/1.5039)</f>
        <v>564319.35</v>
      </c>
    </row>
    <row r="57" spans="1:5" ht="15.6" x14ac:dyDescent="0.25">
      <c r="A57" s="482">
        <v>1532315</v>
      </c>
      <c r="B57" s="482">
        <f t="shared" si="2"/>
        <v>1808131.7</v>
      </c>
      <c r="C57" s="482">
        <f>+'Procurement Tables ($)'!G59/57</f>
        <v>17380.645971018359</v>
      </c>
      <c r="D57" s="482">
        <v>741569.73</v>
      </c>
      <c r="E57" s="498">
        <f>IF(D57&gt;0,D57*1,'Procurement Tables ($)'!G59/1.5039)</f>
        <v>741569.73</v>
      </c>
    </row>
    <row r="58" spans="1:5" ht="15.6" x14ac:dyDescent="0.25">
      <c r="A58" s="482">
        <v>827825.35</v>
      </c>
      <c r="B58" s="482">
        <f t="shared" si="2"/>
        <v>976833.91299999994</v>
      </c>
      <c r="C58" s="482">
        <f>+'Procurement Tables ($)'!G60/57</f>
        <v>8930.0772913267374</v>
      </c>
      <c r="D58" s="482">
        <v>381014.32</v>
      </c>
      <c r="E58" s="498">
        <f>IF(D58&gt;0,D58*1,'Procurement Tables ($)'!G60/1.5039)</f>
        <v>381014.32</v>
      </c>
    </row>
    <row r="59" spans="1:5" ht="15.6" x14ac:dyDescent="0.25">
      <c r="A59" s="482">
        <v>748922.92</v>
      </c>
      <c r="B59" s="482">
        <f t="shared" si="2"/>
        <v>883729.04559999995</v>
      </c>
      <c r="C59" s="482">
        <f>+'Procurement Tables ($)'!G61/57</f>
        <v>7993.0340294668904</v>
      </c>
      <c r="D59" s="482">
        <v>341034.05</v>
      </c>
      <c r="E59" s="498">
        <f>IF(D59&gt;0,D59*1,'Procurement Tables ($)'!G61/1.5039)</f>
        <v>341034.05</v>
      </c>
    </row>
    <row r="60" spans="1:5" ht="15.6" x14ac:dyDescent="0.25">
      <c r="A60" s="482">
        <v>1303621.3999999999</v>
      </c>
      <c r="B60" s="482">
        <f t="shared" si="2"/>
        <v>1538273.2519999999</v>
      </c>
      <c r="C60" s="482">
        <f>+'Procurement Tables ($)'!G62/57</f>
        <v>14967.250863565503</v>
      </c>
      <c r="D60" s="482">
        <v>638598.82999999996</v>
      </c>
      <c r="E60" s="498">
        <f>IF(D60&gt;0,D60*1,'Procurement Tables ($)'!G62/1.5039)</f>
        <v>638598.82999999996</v>
      </c>
    </row>
    <row r="61" spans="1:5" ht="15.6" x14ac:dyDescent="0.25">
      <c r="A61" s="482">
        <v>985469</v>
      </c>
      <c r="B61" s="482">
        <f t="shared" si="2"/>
        <v>1162853.42</v>
      </c>
      <c r="C61" s="482">
        <f>+'Procurement Tables ($)'!G63/57</f>
        <v>12157.531789667786</v>
      </c>
      <c r="D61" s="482">
        <v>518718.21</v>
      </c>
      <c r="E61" s="498">
        <f>IF(D61&gt;0,D61*1,'Procurement Tables ($)'!G63/1.5039)</f>
        <v>518718.21</v>
      </c>
    </row>
    <row r="62" spans="1:5" ht="15.6" x14ac:dyDescent="0.25">
      <c r="A62" s="482">
        <v>1241731.94</v>
      </c>
      <c r="B62" s="482">
        <f t="shared" si="2"/>
        <v>1465243.6891999999</v>
      </c>
      <c r="C62" s="482">
        <f>+'Procurement Tables ($)'!G64/57</f>
        <v>14006.348081983224</v>
      </c>
      <c r="D62" s="482">
        <v>597600.56000000006</v>
      </c>
      <c r="E62" s="498">
        <f>IF(D62&gt;0,D62*1,'Procurement Tables ($)'!G64/1.5039)</f>
        <v>597600.56000000006</v>
      </c>
    </row>
    <row r="63" spans="1:5" ht="15.6" x14ac:dyDescent="0.25">
      <c r="A63" s="482">
        <v>1639341.4</v>
      </c>
      <c r="B63" s="482">
        <f t="shared" si="2"/>
        <v>1934422.8519999997</v>
      </c>
      <c r="C63" s="482">
        <f>+'Procurement Tables ($)'!G65/57</f>
        <v>21423.532837325536</v>
      </c>
      <c r="D63" s="482">
        <v>914065.19</v>
      </c>
      <c r="E63" s="498">
        <f>IF(D63&gt;0,D63*1,'Procurement Tables ($)'!G65/1.5039)</f>
        <v>914065.19</v>
      </c>
    </row>
    <row r="64" spans="1:5" ht="15.6" x14ac:dyDescent="0.25">
      <c r="A64" s="482">
        <v>477909.6</v>
      </c>
      <c r="B64" s="482">
        <f t="shared" si="2"/>
        <v>563933.32799999998</v>
      </c>
      <c r="C64" s="482">
        <f>+'Procurement Tables ($)'!G66/57</f>
        <v>5142.9745546302074</v>
      </c>
      <c r="D64" s="482">
        <v>219432.25</v>
      </c>
      <c r="E64" s="498">
        <f>IF(D64&gt;0,D64*1,'Procurement Tables ($)'!G66/1.5039)</f>
        <v>219432.25</v>
      </c>
    </row>
    <row r="65" spans="1:5" ht="15.6" x14ac:dyDescent="0.25">
      <c r="A65" s="482">
        <v>845313</v>
      </c>
      <c r="B65" s="482">
        <f t="shared" si="2"/>
        <v>997469.34</v>
      </c>
      <c r="C65" s="482">
        <f>+'Procurement Tables ($)'!G67/57</f>
        <v>10707.794793009954</v>
      </c>
      <c r="D65" s="482">
        <v>456863.14</v>
      </c>
      <c r="E65" s="498">
        <f>IF(D65&gt;0,D65*1,'Procurement Tables ($)'!G67/1.5039)</f>
        <v>456863.14</v>
      </c>
    </row>
    <row r="66" spans="1:5" ht="15.6" x14ac:dyDescent="0.25">
      <c r="A66" s="482">
        <v>1870761.5</v>
      </c>
      <c r="B66" s="482">
        <f t="shared" si="2"/>
        <v>2207498.5699999998</v>
      </c>
      <c r="C66" s="482">
        <f>+'Procurement Tables ($)'!G68/57</f>
        <v>22733.131249582988</v>
      </c>
      <c r="D66" s="482">
        <v>969941.05</v>
      </c>
      <c r="E66" s="498">
        <f>IF(D66&gt;0,D66*1,'Procurement Tables ($)'!G68/1.5039)</f>
        <v>969941.05</v>
      </c>
    </row>
    <row r="67" spans="1:5" ht="15.6" x14ac:dyDescent="0.25">
      <c r="A67" s="482">
        <v>1196155</v>
      </c>
      <c r="B67" s="482">
        <f t="shared" si="2"/>
        <v>1411462.9</v>
      </c>
      <c r="C67" s="482">
        <f>+'Procurement Tables ($)'!G69/57</f>
        <v>15659.296936244033</v>
      </c>
      <c r="D67" s="482">
        <v>668125.94999999995</v>
      </c>
      <c r="E67" s="498">
        <f>IF(D67&gt;0,D67*1,'Procurement Tables ($)'!G69/1.5039)</f>
        <v>668125.94999999995</v>
      </c>
    </row>
    <row r="68" spans="1:5" ht="15.6" x14ac:dyDescent="0.25">
      <c r="A68" s="482">
        <v>875930</v>
      </c>
      <c r="B68" s="482">
        <f t="shared" si="2"/>
        <v>1033597.3999999999</v>
      </c>
      <c r="C68" s="482">
        <f>+'Procurement Tables ($)'!G70/57</f>
        <v>10914.694094854516</v>
      </c>
      <c r="D68" s="482">
        <v>465690.79</v>
      </c>
      <c r="E68" s="498">
        <f>IF(D68&gt;0,D68*1,'Procurement Tables ($)'!G70/1.5039)</f>
        <v>465690.79</v>
      </c>
    </row>
    <row r="69" spans="1:5" ht="15.6" x14ac:dyDescent="0.25">
      <c r="A69" s="482">
        <v>1141761</v>
      </c>
      <c r="B69" s="482">
        <f t="shared" si="2"/>
        <v>1347277.98</v>
      </c>
      <c r="C69" s="482">
        <f>+'Procurement Tables ($)'!G71/57</f>
        <v>12359.447076906279</v>
      </c>
      <c r="D69" s="482">
        <v>527333.21</v>
      </c>
      <c r="E69" s="498">
        <f>IF(D69&gt;0,D69*1,'Procurement Tables ($)'!G71/1.5039)</f>
        <v>527333.21</v>
      </c>
    </row>
    <row r="70" spans="1:5" ht="15.6" x14ac:dyDescent="0.25">
      <c r="A70" s="495">
        <f>+A48+A49+A50+A51+A42+A37+A44+A45+A46+A47+A43+A41+A40+A39+A38+A36+A35+A34+A33</f>
        <v>29507771</v>
      </c>
      <c r="B70" s="495">
        <f>+A69+A68+A67+A66+A65+A64+A63+A62+A61+A60+A59+A58+A57+A56+A55+A54</f>
        <v>17652511.640000001</v>
      </c>
      <c r="C70" s="446">
        <f>SUM('Procurement Tables ($)'!G56:G71)</f>
        <v>12056828.926578311</v>
      </c>
      <c r="D70" s="446"/>
      <c r="E70" s="446">
        <f>SUM(E54:E69)</f>
        <v>9024940.0099999979</v>
      </c>
    </row>
    <row r="71" spans="1:5" ht="15.6" x14ac:dyDescent="0.25">
      <c r="A71" s="499">
        <v>490000</v>
      </c>
      <c r="B71" s="499">
        <f>SUM('Procurement Tables ($)'!H22:H71)</f>
        <v>41919429.949643992</v>
      </c>
      <c r="C71" s="499">
        <f>SUM(A54:A69)</f>
        <v>17652511.640000001</v>
      </c>
      <c r="D71" s="499"/>
      <c r="E71" s="499"/>
    </row>
    <row r="72" spans="1:5" ht="15.6" x14ac:dyDescent="0.25">
      <c r="A72" s="482">
        <v>1112016.5</v>
      </c>
      <c r="B72" s="482">
        <f t="shared" ref="B72:B83" si="3">+A72*1.18</f>
        <v>1312179.47</v>
      </c>
      <c r="C72" s="482">
        <f>+'Procurement Tables ($)'!G74/57</f>
        <v>12344.045030358542</v>
      </c>
      <c r="D72" s="482">
        <v>526676.06000000006</v>
      </c>
      <c r="E72" s="498">
        <f>IF(D72&gt;0,D72*1,'Procurement Tables ($)'!G74/1.5039)</f>
        <v>526676.06000000006</v>
      </c>
    </row>
    <row r="73" spans="1:5" ht="15.6" x14ac:dyDescent="0.25">
      <c r="A73" s="482">
        <v>667742.62</v>
      </c>
      <c r="B73" s="482">
        <f t="shared" si="3"/>
        <v>787936.2916</v>
      </c>
      <c r="C73" s="482">
        <f>+'Procurement Tables ($)'!G75/57</f>
        <v>8119.9172209652861</v>
      </c>
      <c r="D73" s="482">
        <v>346447.7</v>
      </c>
      <c r="E73" s="498">
        <f>IF(D73&gt;0,D73*1,'Procurement Tables ($)'!G75/1.5039)</f>
        <v>346447.7</v>
      </c>
    </row>
    <row r="74" spans="1:5" ht="15.6" x14ac:dyDescent="0.25">
      <c r="A74" s="482">
        <v>1091704.3999999999</v>
      </c>
      <c r="B74" s="482">
        <f t="shared" si="3"/>
        <v>1288211.1919999998</v>
      </c>
      <c r="C74" s="482">
        <f>+'Procurement Tables ($)'!G76/57</f>
        <v>12303.591659984351</v>
      </c>
      <c r="D74" s="482">
        <v>524950.06000000006</v>
      </c>
      <c r="E74" s="498">
        <f>IF(D74&gt;0,D74*1,'Procurement Tables ($)'!G76/1.5039)</f>
        <v>524950.06000000006</v>
      </c>
    </row>
    <row r="75" spans="1:5" ht="15.6" x14ac:dyDescent="0.25">
      <c r="A75" s="482">
        <v>918481.14</v>
      </c>
      <c r="B75" s="482">
        <f t="shared" si="3"/>
        <v>1083807.7452</v>
      </c>
      <c r="C75" s="482">
        <f>+'Procurement Tables ($)'!G77/57</f>
        <v>9711.4868747990768</v>
      </c>
      <c r="D75" s="482">
        <v>414354.26</v>
      </c>
      <c r="E75" s="498">
        <f>IF(D75&gt;0,D75*1,'Procurement Tables ($)'!G77/1.5039)</f>
        <v>414354.26</v>
      </c>
    </row>
    <row r="76" spans="1:5" ht="15.6" x14ac:dyDescent="0.25">
      <c r="A76" s="482">
        <v>446117.91</v>
      </c>
      <c r="B76" s="482">
        <f t="shared" si="3"/>
        <v>526419.13379999995</v>
      </c>
      <c r="C76" s="482">
        <f>+'Procurement Tables ($)'!G78/57</f>
        <v>5006.7870879457487</v>
      </c>
      <c r="D76" s="482">
        <v>213621.62</v>
      </c>
      <c r="E76" s="498">
        <f>IF(D76&gt;0,D76*1,'Procurement Tables ($)'!G78/1.5039)</f>
        <v>213621.62</v>
      </c>
    </row>
    <row r="77" spans="1:5" ht="15.6" x14ac:dyDescent="0.25">
      <c r="A77" s="482">
        <v>1466261.3</v>
      </c>
      <c r="B77" s="482">
        <f t="shared" si="3"/>
        <v>1730188.334</v>
      </c>
      <c r="C77" s="482">
        <f>+'Procurement Tables ($)'!G79/57</f>
        <v>18547.846644547291</v>
      </c>
      <c r="D77" s="482">
        <v>791369.99</v>
      </c>
      <c r="E77" s="498">
        <f>IF(D77&gt;0,D77*1,'Procurement Tables ($)'!G79/1.5039)</f>
        <v>791369.99</v>
      </c>
    </row>
    <row r="78" spans="1:5" ht="15.6" x14ac:dyDescent="0.25">
      <c r="A78" s="482">
        <v>888425.7</v>
      </c>
      <c r="B78" s="482">
        <f t="shared" si="3"/>
        <v>1048342.3259999999</v>
      </c>
      <c r="C78" s="482">
        <f>+'Procurement Tables ($)'!G80/57</f>
        <v>8792.8018492930496</v>
      </c>
      <c r="D78" s="482">
        <v>375157.27</v>
      </c>
      <c r="E78" s="498">
        <f>IF(D78&gt;0,D78*1,'Procurement Tables ($)'!G80/1.5039)</f>
        <v>375157.27</v>
      </c>
    </row>
    <row r="79" spans="1:5" ht="15.6" x14ac:dyDescent="0.25">
      <c r="A79" s="482">
        <v>834222</v>
      </c>
      <c r="B79" s="482">
        <f t="shared" si="3"/>
        <v>984381.96</v>
      </c>
      <c r="C79" s="482">
        <f>+'Procurement Tables ($)'!G81/57</f>
        <v>8555.7711146831007</v>
      </c>
      <c r="D79" s="482">
        <v>365044.02</v>
      </c>
      <c r="E79" s="498">
        <f>IF(D79&gt;0,D79*1,'Procurement Tables ($)'!G81/1.5039)</f>
        <v>365044.02</v>
      </c>
    </row>
    <row r="80" spans="1:5" ht="15.6" x14ac:dyDescent="0.25">
      <c r="A80" s="482">
        <v>719658.7</v>
      </c>
      <c r="B80" s="482">
        <f t="shared" si="3"/>
        <v>849197.26599999995</v>
      </c>
      <c r="C80" s="482">
        <f>+'Procurement Tables ($)'!G82/57</f>
        <v>8176.8917853005214</v>
      </c>
      <c r="D80" s="482">
        <v>348878.6</v>
      </c>
      <c r="E80" s="498">
        <f>IF(D80&gt;0,D80*1,'Procurement Tables ($)'!G82/1.5039)</f>
        <v>348878.6</v>
      </c>
    </row>
    <row r="81" spans="1:5" ht="15.6" x14ac:dyDescent="0.25">
      <c r="A81" s="482">
        <v>663973.19999999995</v>
      </c>
      <c r="B81" s="482">
        <f t="shared" si="3"/>
        <v>783488.37599999993</v>
      </c>
      <c r="C81" s="482">
        <f>+'Procurement Tables ($)'!G83/57</f>
        <v>6278.564880173235</v>
      </c>
      <c r="D81" s="482">
        <v>267883.81</v>
      </c>
      <c r="E81" s="498">
        <f>IF(D81&gt;0,D81*1,'Procurement Tables ($)'!G83/1.5039)</f>
        <v>267883.81</v>
      </c>
    </row>
    <row r="82" spans="1:5" ht="15.6" x14ac:dyDescent="0.25">
      <c r="A82" s="500">
        <v>621735.9</v>
      </c>
      <c r="B82" s="498">
        <f t="shared" si="3"/>
        <v>733648.36199999996</v>
      </c>
      <c r="C82" s="498">
        <f>+'Procurement Tables ($)'!G84/57</f>
        <v>7476.0816445169621</v>
      </c>
      <c r="D82" s="498"/>
      <c r="E82" s="498">
        <f>+B82/2.3</f>
        <v>318977.54869565216</v>
      </c>
    </row>
    <row r="83" spans="1:5" ht="15.6" x14ac:dyDescent="0.25">
      <c r="A83" s="482">
        <v>903505</v>
      </c>
      <c r="B83" s="482">
        <f t="shared" si="3"/>
        <v>1066135.8999999999</v>
      </c>
      <c r="C83" s="482">
        <f>+'Procurement Tables ($)'!G85/57</f>
        <v>9806.4266694164235</v>
      </c>
      <c r="D83" s="482">
        <v>418405</v>
      </c>
      <c r="E83" s="498">
        <f>IF(D83&gt;0,D83*1,'Procurement Tables ($)'!G85/1.5039)</f>
        <v>418405</v>
      </c>
    </row>
    <row r="84" spans="1:5" ht="15.6" x14ac:dyDescent="0.25">
      <c r="A84" s="499">
        <f>SUM(A72:A83)</f>
        <v>10333844.370000001</v>
      </c>
      <c r="B84" s="499"/>
      <c r="C84" s="499"/>
      <c r="D84" s="499"/>
      <c r="E84" s="499">
        <f>SUM(E72:E83)</f>
        <v>4911765.9386956524</v>
      </c>
    </row>
    <row r="85" spans="1:5" ht="15.6" x14ac:dyDescent="0.25">
      <c r="A85" s="499"/>
      <c r="B85" s="499"/>
      <c r="C85" s="499"/>
      <c r="D85" s="499"/>
      <c r="E85" s="499"/>
    </row>
    <row r="86" spans="1:5" ht="15.6" x14ac:dyDescent="0.25">
      <c r="A86" s="482">
        <v>588551.5</v>
      </c>
      <c r="B86" s="482">
        <f t="shared" ref="B86:B92" si="4">+A86*1.18</f>
        <v>694490.77</v>
      </c>
      <c r="C86" s="482">
        <f>+'Procurement Tables ($)'!G88/57</f>
        <v>6123.1573750326033</v>
      </c>
      <c r="D86" s="482">
        <v>261253.13</v>
      </c>
      <c r="E86" s="498">
        <f>IF(D86&gt;0,D86*1,'Procurement Tables ($)'!G88/1.5039)</f>
        <v>261253.13</v>
      </c>
    </row>
    <row r="87" spans="1:5" ht="15.6" x14ac:dyDescent="0.25">
      <c r="A87" s="482">
        <v>488907</v>
      </c>
      <c r="B87" s="482">
        <f t="shared" si="4"/>
        <v>576910.26</v>
      </c>
      <c r="C87" s="482">
        <f>+'Procurement Tables ($)'!G89/57</f>
        <v>5272.0571344692253</v>
      </c>
      <c r="D87" s="482">
        <v>224939.74</v>
      </c>
      <c r="E87" s="498">
        <f>IF(D87&gt;0,D87*1,'Procurement Tables ($)'!G89/1.5039)</f>
        <v>224939.74</v>
      </c>
    </row>
    <row r="88" spans="1:5" ht="15.6" x14ac:dyDescent="0.25">
      <c r="A88" s="482">
        <v>1618474.96</v>
      </c>
      <c r="B88" s="482">
        <f t="shared" si="4"/>
        <v>1909800.4527999999</v>
      </c>
      <c r="C88" s="482">
        <f>+'Procurement Tables ($)'!G90/57</f>
        <v>17879.05493167054</v>
      </c>
      <c r="D88" s="482">
        <v>762835.05</v>
      </c>
      <c r="E88" s="498">
        <f>IF(D88&gt;0,D88*1,'Procurement Tables ($)'!G90/1.5039)</f>
        <v>762835.05</v>
      </c>
    </row>
    <row r="89" spans="1:5" ht="15.6" x14ac:dyDescent="0.25">
      <c r="A89" s="500">
        <v>1734637.9</v>
      </c>
      <c r="B89" s="498">
        <f t="shared" si="4"/>
        <v>2046872.7219999998</v>
      </c>
      <c r="C89" s="498">
        <f>+'Procurement Tables ($)'!G91/57</f>
        <v>19737.906519231117</v>
      </c>
      <c r="D89" s="498">
        <v>842145.57</v>
      </c>
      <c r="E89" s="498">
        <f>IF(D89&gt;0,D89*1,'Procurement Tables ($)'!G91/1.5039)</f>
        <v>842145.57</v>
      </c>
    </row>
    <row r="90" spans="1:5" ht="15.6" x14ac:dyDescent="0.25">
      <c r="A90" s="482">
        <v>817622.5</v>
      </c>
      <c r="B90" s="482">
        <f t="shared" si="4"/>
        <v>964794.54999999993</v>
      </c>
      <c r="C90" s="482">
        <f>+'Procurement Tables ($)'!G92/57</f>
        <v>8734.1871187592114</v>
      </c>
      <c r="D90" s="482">
        <v>372656.39</v>
      </c>
      <c r="E90" s="498">
        <f>IF(D90&gt;0,D90*1,'Procurement Tables ($)'!G92/1.5039)</f>
        <v>372656.39</v>
      </c>
    </row>
    <row r="91" spans="1:5" ht="15.6" x14ac:dyDescent="0.25">
      <c r="A91" s="482">
        <v>1040135</v>
      </c>
      <c r="B91" s="482">
        <f t="shared" si="4"/>
        <v>1227359.3</v>
      </c>
      <c r="C91" s="482">
        <f>+'Procurement Tables ($)'!G93/57</f>
        <v>8868.0118367371688</v>
      </c>
      <c r="D91" s="482">
        <v>378366.21</v>
      </c>
      <c r="E91" s="498">
        <f>IF(D91&gt;0,D91*1,'Procurement Tables ($)'!G93/1.5039)</f>
        <v>378366.21</v>
      </c>
    </row>
    <row r="92" spans="1:5" ht="15.6" x14ac:dyDescent="0.25">
      <c r="A92" s="482">
        <v>1463196.5</v>
      </c>
      <c r="B92" s="482">
        <f t="shared" si="4"/>
        <v>1726571.8699999999</v>
      </c>
      <c r="C92" s="482">
        <f>+'Procurement Tables ($)'!G94/57</f>
        <v>15557.639444629782</v>
      </c>
      <c r="D92" s="482">
        <v>663788.59</v>
      </c>
      <c r="E92" s="498">
        <f>IF(D92&gt;0,D92*1,'Procurement Tables ($)'!G94/1.5039)</f>
        <v>663788.59</v>
      </c>
    </row>
    <row r="93" spans="1:5" ht="15.6" x14ac:dyDescent="0.25">
      <c r="A93" s="499">
        <f>SUM(A86:A92)</f>
        <v>7751525.3599999994</v>
      </c>
      <c r="B93" s="446"/>
      <c r="C93" s="446"/>
      <c r="D93" s="446">
        <v>2.2999999999999998</v>
      </c>
      <c r="E93" s="446">
        <f>SUM(E86:E92)</f>
        <v>3505984.6799999997</v>
      </c>
    </row>
    <row r="94" spans="1:5" ht="15.6" x14ac:dyDescent="0.25">
      <c r="A94" s="499"/>
      <c r="B94" s="446"/>
      <c r="C94" s="446"/>
      <c r="D94" s="446"/>
      <c r="E94" s="446"/>
    </row>
    <row r="95" spans="1:5" ht="15.6" x14ac:dyDescent="0.25">
      <c r="A95" s="499"/>
      <c r="B95" s="499"/>
      <c r="C95" s="499"/>
      <c r="D95" s="499"/>
      <c r="E95" s="499"/>
    </row>
    <row r="96" spans="1:5" ht="15.6" x14ac:dyDescent="0.25">
      <c r="A96" s="499"/>
      <c r="B96" s="499">
        <f>+'Procurement Tables ($)'!J103*2.35</f>
        <v>12435263.014287358</v>
      </c>
      <c r="C96" s="499"/>
      <c r="D96" s="499"/>
      <c r="E96" s="499"/>
    </row>
    <row r="97" spans="1:5" ht="15.6" x14ac:dyDescent="0.25">
      <c r="A97" s="500">
        <v>974336</v>
      </c>
      <c r="B97" s="498">
        <f t="shared" ref="B97:B106" si="5">+A97*1.18</f>
        <v>1149716.48</v>
      </c>
      <c r="C97" s="498">
        <f t="shared" ref="C97:C106" si="6">+B97/1.85</f>
        <v>621468.3675675675</v>
      </c>
      <c r="D97" s="498"/>
      <c r="E97" s="498">
        <f>IF(D97&gt;0,D97*1,B97/1.5039)</f>
        <v>764489.97938692733</v>
      </c>
    </row>
    <row r="98" spans="1:5" ht="15.6" x14ac:dyDescent="0.25">
      <c r="A98" s="500">
        <v>1258887</v>
      </c>
      <c r="B98" s="498">
        <f t="shared" si="5"/>
        <v>1485486.66</v>
      </c>
      <c r="C98" s="498">
        <f t="shared" si="6"/>
        <v>802965.76216216211</v>
      </c>
      <c r="D98" s="498"/>
      <c r="E98" s="498">
        <f>+B98/2.3</f>
        <v>645863.76521739131</v>
      </c>
    </row>
    <row r="99" spans="1:5" ht="15.6" x14ac:dyDescent="0.25">
      <c r="A99" s="500">
        <v>649273.30000000005</v>
      </c>
      <c r="B99" s="498">
        <f t="shared" si="5"/>
        <v>766142.49400000006</v>
      </c>
      <c r="C99" s="498">
        <f t="shared" si="6"/>
        <v>414131.07783783786</v>
      </c>
      <c r="D99" s="498"/>
      <c r="E99" s="498">
        <f>+B99/2.3</f>
        <v>333105.43217391311</v>
      </c>
    </row>
    <row r="100" spans="1:5" ht="15.6" x14ac:dyDescent="0.25">
      <c r="A100" s="482">
        <v>1084953</v>
      </c>
      <c r="B100" s="482">
        <f t="shared" si="5"/>
        <v>1280244.54</v>
      </c>
      <c r="C100" s="482">
        <f t="shared" si="6"/>
        <v>692024.07567567565</v>
      </c>
      <c r="D100" s="482">
        <v>537334.9</v>
      </c>
      <c r="E100" s="498">
        <f>+D100</f>
        <v>537334.9</v>
      </c>
    </row>
    <row r="101" spans="1:5" ht="15.6" x14ac:dyDescent="0.25">
      <c r="A101" s="500">
        <v>621353</v>
      </c>
      <c r="B101" s="498">
        <f t="shared" si="5"/>
        <v>733196.53999999992</v>
      </c>
      <c r="C101" s="498">
        <f t="shared" si="6"/>
        <v>396322.45405405399</v>
      </c>
      <c r="D101" s="498"/>
      <c r="E101" s="498">
        <f t="shared" ref="E101:E106" si="7">+B101/2.3</f>
        <v>318781.1043478261</v>
      </c>
    </row>
    <row r="102" spans="1:5" ht="15.6" x14ac:dyDescent="0.25">
      <c r="A102" s="500">
        <v>918644.9</v>
      </c>
      <c r="B102" s="498">
        <f t="shared" si="5"/>
        <v>1084000.9820000001</v>
      </c>
      <c r="C102" s="498">
        <f t="shared" si="6"/>
        <v>585946.47675675678</v>
      </c>
      <c r="D102" s="498"/>
      <c r="E102" s="498">
        <f t="shared" si="7"/>
        <v>471304.77478260879</v>
      </c>
    </row>
    <row r="103" spans="1:5" ht="15.6" x14ac:dyDescent="0.25">
      <c r="A103" s="500">
        <v>1435652</v>
      </c>
      <c r="B103" s="498">
        <f t="shared" si="5"/>
        <v>1694069.3599999999</v>
      </c>
      <c r="C103" s="498">
        <f t="shared" si="6"/>
        <v>915713.16756756743</v>
      </c>
      <c r="D103" s="498"/>
      <c r="E103" s="498">
        <f t="shared" si="7"/>
        <v>736551.8956521739</v>
      </c>
    </row>
    <row r="104" spans="1:5" ht="15.6" x14ac:dyDescent="0.25">
      <c r="A104" s="500">
        <v>1747399</v>
      </c>
      <c r="B104" s="498">
        <f t="shared" si="5"/>
        <v>2061930.8199999998</v>
      </c>
      <c r="C104" s="498">
        <f t="shared" si="6"/>
        <v>1114557.2</v>
      </c>
      <c r="D104" s="498"/>
      <c r="E104" s="498">
        <f t="shared" si="7"/>
        <v>896491.66086956521</v>
      </c>
    </row>
    <row r="105" spans="1:5" ht="15.6" x14ac:dyDescent="0.25">
      <c r="A105" s="500">
        <v>1420430</v>
      </c>
      <c r="B105" s="498">
        <f t="shared" si="5"/>
        <v>1676107.4</v>
      </c>
      <c r="C105" s="498">
        <f t="shared" si="6"/>
        <v>906003.99999999988</v>
      </c>
      <c r="D105" s="498"/>
      <c r="E105" s="498">
        <f t="shared" si="7"/>
        <v>728742.34782608692</v>
      </c>
    </row>
    <row r="106" spans="1:5" ht="15.6" x14ac:dyDescent="0.25">
      <c r="A106" s="500">
        <v>972283</v>
      </c>
      <c r="B106" s="498">
        <f t="shared" si="5"/>
        <v>1147293.94</v>
      </c>
      <c r="C106" s="498">
        <f t="shared" si="6"/>
        <v>620158.88648648642</v>
      </c>
      <c r="D106" s="498"/>
      <c r="E106" s="498">
        <f t="shared" si="7"/>
        <v>498823.45217391307</v>
      </c>
    </row>
    <row r="107" spans="1:5" ht="15.6" x14ac:dyDescent="0.25">
      <c r="A107" s="499">
        <f>SUM(A97:A106)</f>
        <v>11083211.199999999</v>
      </c>
      <c r="B107" s="499">
        <f>SUM(B97:B106)</f>
        <v>13078189.216</v>
      </c>
      <c r="C107" s="499">
        <f>SUM(C97:C106)</f>
        <v>7069291.4681081083</v>
      </c>
      <c r="D107" s="501">
        <f>+B107/E107</f>
        <v>2.2048744467249595</v>
      </c>
      <c r="E107" s="499">
        <f>SUM(E97:E106)</f>
        <v>5931489.3124304051</v>
      </c>
    </row>
    <row r="108" spans="1:5" ht="15.6" x14ac:dyDescent="0.25">
      <c r="A108" s="499"/>
      <c r="B108" s="499"/>
      <c r="C108" s="499"/>
      <c r="D108" s="499"/>
      <c r="E108" s="499"/>
    </row>
    <row r="109" spans="1:5" ht="15.6" x14ac:dyDescent="0.25">
      <c r="A109" s="500">
        <v>510142.5</v>
      </c>
      <c r="B109" s="498">
        <f t="shared" ref="B109:B121" si="8">+A109*1.18</f>
        <v>601968.15</v>
      </c>
      <c r="C109" s="498">
        <f t="shared" ref="C109:C120" si="9">+B109/1.85</f>
        <v>325388.18918918917</v>
      </c>
      <c r="D109" s="498"/>
      <c r="E109" s="498">
        <f t="shared" ref="E109:E120" si="10">+B109/2.3</f>
        <v>261725.28260869568</v>
      </c>
    </row>
    <row r="110" spans="1:5" ht="15.6" x14ac:dyDescent="0.25">
      <c r="A110" s="500">
        <v>1228569.8</v>
      </c>
      <c r="B110" s="498">
        <f t="shared" si="8"/>
        <v>1449712.3640000001</v>
      </c>
      <c r="C110" s="498">
        <f t="shared" si="9"/>
        <v>783628.30486486491</v>
      </c>
      <c r="D110" s="498"/>
      <c r="E110" s="498">
        <f t="shared" si="10"/>
        <v>630309.72347826092</v>
      </c>
    </row>
    <row r="111" spans="1:5" ht="15.6" x14ac:dyDescent="0.25">
      <c r="A111" s="500">
        <v>894591</v>
      </c>
      <c r="B111" s="498">
        <f t="shared" si="8"/>
        <v>1055617.3799999999</v>
      </c>
      <c r="C111" s="498">
        <f t="shared" si="9"/>
        <v>570603.98918918904</v>
      </c>
      <c r="D111" s="498"/>
      <c r="E111" s="498">
        <f t="shared" si="10"/>
        <v>458964.07826086954</v>
      </c>
    </row>
    <row r="112" spans="1:5" ht="15.6" x14ac:dyDescent="0.25">
      <c r="A112" s="500">
        <v>664969</v>
      </c>
      <c r="B112" s="498">
        <f t="shared" si="8"/>
        <v>784663.41999999993</v>
      </c>
      <c r="C112" s="498">
        <f t="shared" si="9"/>
        <v>424142.38918918913</v>
      </c>
      <c r="D112" s="498"/>
      <c r="E112" s="498">
        <f t="shared" si="10"/>
        <v>341158.00869565218</v>
      </c>
    </row>
    <row r="113" spans="1:5" ht="15.6" x14ac:dyDescent="0.25">
      <c r="A113" s="500">
        <v>669603</v>
      </c>
      <c r="B113" s="498">
        <f t="shared" si="8"/>
        <v>790131.53999999992</v>
      </c>
      <c r="C113" s="498">
        <f t="shared" si="9"/>
        <v>427098.12972972967</v>
      </c>
      <c r="D113" s="498"/>
      <c r="E113" s="498">
        <f t="shared" si="10"/>
        <v>343535.45217391301</v>
      </c>
    </row>
    <row r="114" spans="1:5" ht="15.6" x14ac:dyDescent="0.25">
      <c r="A114" s="500">
        <v>1071960.5</v>
      </c>
      <c r="B114" s="498">
        <f t="shared" si="8"/>
        <v>1264913.3899999999</v>
      </c>
      <c r="C114" s="498">
        <f t="shared" si="9"/>
        <v>683736.96756756748</v>
      </c>
      <c r="D114" s="498"/>
      <c r="E114" s="498">
        <f t="shared" si="10"/>
        <v>549962.34347826091</v>
      </c>
    </row>
    <row r="115" spans="1:5" ht="15.6" x14ac:dyDescent="0.25">
      <c r="A115" s="500">
        <v>531549</v>
      </c>
      <c r="B115" s="498">
        <f t="shared" si="8"/>
        <v>627227.81999999995</v>
      </c>
      <c r="C115" s="498">
        <f t="shared" si="9"/>
        <v>339042.06486486481</v>
      </c>
      <c r="D115" s="498"/>
      <c r="E115" s="498">
        <f t="shared" si="10"/>
        <v>272707.74782608694</v>
      </c>
    </row>
    <row r="116" spans="1:5" ht="15.6" x14ac:dyDescent="0.25">
      <c r="A116" s="500">
        <v>1279380</v>
      </c>
      <c r="B116" s="498">
        <f t="shared" si="8"/>
        <v>1509668.4</v>
      </c>
      <c r="C116" s="498">
        <f t="shared" si="9"/>
        <v>816036.9729729729</v>
      </c>
      <c r="D116" s="498"/>
      <c r="E116" s="498">
        <f t="shared" si="10"/>
        <v>656377.56521739135</v>
      </c>
    </row>
    <row r="117" spans="1:5" ht="15.6" x14ac:dyDescent="0.25">
      <c r="A117" s="500">
        <v>949493</v>
      </c>
      <c r="B117" s="498">
        <f t="shared" si="8"/>
        <v>1120401.74</v>
      </c>
      <c r="C117" s="498">
        <f t="shared" si="9"/>
        <v>605622.56216216215</v>
      </c>
      <c r="D117" s="498"/>
      <c r="E117" s="498">
        <f t="shared" si="10"/>
        <v>487131.19130434789</v>
      </c>
    </row>
    <row r="118" spans="1:5" ht="15.6" x14ac:dyDescent="0.25">
      <c r="A118" s="500">
        <v>1247034</v>
      </c>
      <c r="B118" s="498">
        <f t="shared" si="8"/>
        <v>1471500.1199999999</v>
      </c>
      <c r="C118" s="498">
        <f t="shared" si="9"/>
        <v>795405.47027027013</v>
      </c>
      <c r="D118" s="498"/>
      <c r="E118" s="498">
        <f t="shared" si="10"/>
        <v>639782.66086956521</v>
      </c>
    </row>
    <row r="119" spans="1:5" ht="15.6" x14ac:dyDescent="0.25">
      <c r="A119" s="500">
        <v>935449.4</v>
      </c>
      <c r="B119" s="498">
        <f t="shared" si="8"/>
        <v>1103830.2919999999</v>
      </c>
      <c r="C119" s="498">
        <f t="shared" si="9"/>
        <v>596665.02270270267</v>
      </c>
      <c r="D119" s="498"/>
      <c r="E119" s="498">
        <f t="shared" si="10"/>
        <v>479926.2139130435</v>
      </c>
    </row>
    <row r="120" spans="1:5" ht="15.6" x14ac:dyDescent="0.25">
      <c r="A120" s="500">
        <v>882123.5</v>
      </c>
      <c r="B120" s="498">
        <f t="shared" si="8"/>
        <v>1040905.73</v>
      </c>
      <c r="C120" s="498">
        <f t="shared" si="9"/>
        <v>562651.74594594596</v>
      </c>
      <c r="D120" s="498"/>
      <c r="E120" s="498">
        <f t="shared" si="10"/>
        <v>452567.7086956522</v>
      </c>
    </row>
    <row r="121" spans="1:5" ht="15.6" x14ac:dyDescent="0.25">
      <c r="A121" s="499">
        <f>SUM(A109:A120)</f>
        <v>10864864.700000001</v>
      </c>
      <c r="B121" s="499">
        <f t="shared" si="8"/>
        <v>12820540.346000001</v>
      </c>
      <c r="C121" s="499"/>
      <c r="D121" s="499"/>
      <c r="E121" s="499">
        <f>SUM(E109:E120)</f>
        <v>5574147.9765217397</v>
      </c>
    </row>
    <row r="122" spans="1:5" ht="15.6" x14ac:dyDescent="0.25">
      <c r="A122" s="499"/>
      <c r="B122" s="446"/>
      <c r="C122" s="446"/>
      <c r="D122" s="446"/>
      <c r="E122" s="446"/>
    </row>
    <row r="123" spans="1:5" ht="15.6" x14ac:dyDescent="0.25">
      <c r="A123" s="499"/>
      <c r="B123" s="499"/>
      <c r="C123" s="499"/>
      <c r="D123" s="499"/>
      <c r="E123" s="499"/>
    </row>
    <row r="124" spans="1:5" ht="15.6" x14ac:dyDescent="0.25">
      <c r="A124" s="499"/>
      <c r="B124" s="499" t="e">
        <f>+'Procurement Tables ($)'!H133/#REF!</f>
        <v>#REF!</v>
      </c>
      <c r="C124" s="499"/>
      <c r="D124" s="499"/>
      <c r="E124" s="499"/>
    </row>
    <row r="125" spans="1:5" ht="15.6" x14ac:dyDescent="0.25">
      <c r="A125" s="500">
        <v>1297789</v>
      </c>
      <c r="B125" s="498">
        <f t="shared" ref="B125:B138" si="11">+A125*1.18</f>
        <v>1531391.02</v>
      </c>
      <c r="C125" s="498">
        <f t="shared" ref="C125:C138" si="12">+B125/1.85</f>
        <v>827778.92972972966</v>
      </c>
      <c r="D125" s="498"/>
      <c r="E125" s="498">
        <f t="shared" ref="E125:E138" si="13">+B125/2.3</f>
        <v>665822.1826086957</v>
      </c>
    </row>
    <row r="126" spans="1:5" ht="15.6" x14ac:dyDescent="0.25">
      <c r="A126" s="500">
        <v>610000</v>
      </c>
      <c r="B126" s="498">
        <f t="shared" si="11"/>
        <v>719800</v>
      </c>
      <c r="C126" s="498">
        <f t="shared" si="12"/>
        <v>389081.08108108107</v>
      </c>
      <c r="D126" s="498"/>
      <c r="E126" s="498">
        <f t="shared" si="13"/>
        <v>312956.52173913043</v>
      </c>
    </row>
    <row r="127" spans="1:5" ht="15.6" x14ac:dyDescent="0.25">
      <c r="A127" s="500">
        <v>1003106</v>
      </c>
      <c r="B127" s="498">
        <f t="shared" si="11"/>
        <v>1183665.0799999998</v>
      </c>
      <c r="C127" s="498">
        <f t="shared" si="12"/>
        <v>639818.96216216206</v>
      </c>
      <c r="D127" s="498"/>
      <c r="E127" s="498">
        <f t="shared" si="13"/>
        <v>514636.99130434782</v>
      </c>
    </row>
    <row r="128" spans="1:5" ht="15.6" x14ac:dyDescent="0.25">
      <c r="A128" s="500">
        <v>670010</v>
      </c>
      <c r="B128" s="498">
        <f t="shared" si="11"/>
        <v>790611.79999999993</v>
      </c>
      <c r="C128" s="498">
        <f t="shared" si="12"/>
        <v>427357.72972972965</v>
      </c>
      <c r="D128" s="498"/>
      <c r="E128" s="498">
        <f t="shared" si="13"/>
        <v>343744.26086956519</v>
      </c>
    </row>
    <row r="129" spans="1:5" ht="15.6" x14ac:dyDescent="0.25">
      <c r="A129" s="500">
        <v>849085</v>
      </c>
      <c r="B129" s="498">
        <f t="shared" si="11"/>
        <v>1001920.2999999999</v>
      </c>
      <c r="C129" s="498">
        <f t="shared" si="12"/>
        <v>541578.54054054047</v>
      </c>
      <c r="D129" s="498"/>
      <c r="E129" s="498">
        <f t="shared" si="13"/>
        <v>435617.52173913043</v>
      </c>
    </row>
    <row r="130" spans="1:5" ht="15.6" x14ac:dyDescent="0.25">
      <c r="A130" s="500">
        <v>778952.2</v>
      </c>
      <c r="B130" s="498">
        <f t="shared" si="11"/>
        <v>919163.5959999999</v>
      </c>
      <c r="C130" s="498">
        <f t="shared" si="12"/>
        <v>496845.18702702696</v>
      </c>
      <c r="D130" s="498"/>
      <c r="E130" s="498">
        <f t="shared" si="13"/>
        <v>399636.3460869565</v>
      </c>
    </row>
    <row r="131" spans="1:5" ht="15.6" x14ac:dyDescent="0.25">
      <c r="A131" s="500">
        <v>635008</v>
      </c>
      <c r="B131" s="498">
        <f t="shared" si="11"/>
        <v>749309.43999999994</v>
      </c>
      <c r="C131" s="498">
        <f t="shared" si="12"/>
        <v>405032.12972972967</v>
      </c>
      <c r="D131" s="498"/>
      <c r="E131" s="498">
        <f t="shared" si="13"/>
        <v>325786.71304347826</v>
      </c>
    </row>
    <row r="132" spans="1:5" ht="15.6" x14ac:dyDescent="0.25">
      <c r="A132" s="500">
        <v>413291</v>
      </c>
      <c r="B132" s="498">
        <f t="shared" si="11"/>
        <v>487683.37999999995</v>
      </c>
      <c r="C132" s="498">
        <f t="shared" si="12"/>
        <v>263612.6378378378</v>
      </c>
      <c r="D132" s="498"/>
      <c r="E132" s="498">
        <f t="shared" si="13"/>
        <v>212036.25217391303</v>
      </c>
    </row>
    <row r="133" spans="1:5" ht="15.6" x14ac:dyDescent="0.25">
      <c r="A133" s="500">
        <v>703215.5</v>
      </c>
      <c r="B133" s="498">
        <f t="shared" si="11"/>
        <v>829794.28999999992</v>
      </c>
      <c r="C133" s="498">
        <f t="shared" si="12"/>
        <v>448537.45405405399</v>
      </c>
      <c r="D133" s="498"/>
      <c r="E133" s="498">
        <f t="shared" si="13"/>
        <v>360780.12608695653</v>
      </c>
    </row>
    <row r="134" spans="1:5" ht="15.6" x14ac:dyDescent="0.25">
      <c r="A134" s="500">
        <v>561020</v>
      </c>
      <c r="B134" s="498">
        <f t="shared" si="11"/>
        <v>662003.6</v>
      </c>
      <c r="C134" s="498">
        <f t="shared" si="12"/>
        <v>357839.78378378373</v>
      </c>
      <c r="D134" s="498"/>
      <c r="E134" s="498">
        <f t="shared" si="13"/>
        <v>287827.65217391308</v>
      </c>
    </row>
    <row r="135" spans="1:5" ht="15.6" x14ac:dyDescent="0.25">
      <c r="A135" s="500">
        <v>945964</v>
      </c>
      <c r="B135" s="498">
        <f t="shared" si="11"/>
        <v>1116237.52</v>
      </c>
      <c r="C135" s="498">
        <f t="shared" si="12"/>
        <v>603371.63243243238</v>
      </c>
      <c r="D135" s="498"/>
      <c r="E135" s="498">
        <f t="shared" si="13"/>
        <v>485320.66086956527</v>
      </c>
    </row>
    <row r="136" spans="1:5" ht="15.6" x14ac:dyDescent="0.25">
      <c r="A136" s="500">
        <v>667722.6</v>
      </c>
      <c r="B136" s="498">
        <f t="shared" si="11"/>
        <v>787912.66799999995</v>
      </c>
      <c r="C136" s="498">
        <f t="shared" si="12"/>
        <v>425898.73945945944</v>
      </c>
      <c r="D136" s="498"/>
      <c r="E136" s="498">
        <f t="shared" si="13"/>
        <v>342570.72521739133</v>
      </c>
    </row>
    <row r="137" spans="1:5" ht="15.6" x14ac:dyDescent="0.25">
      <c r="A137" s="500">
        <v>946646.71</v>
      </c>
      <c r="B137" s="498">
        <f t="shared" si="11"/>
        <v>1117043.1177999999</v>
      </c>
      <c r="C137" s="498">
        <f t="shared" si="12"/>
        <v>603807.09070270264</v>
      </c>
      <c r="D137" s="498"/>
      <c r="E137" s="498">
        <f t="shared" si="13"/>
        <v>485670.92078260868</v>
      </c>
    </row>
    <row r="138" spans="1:5" ht="15.6" x14ac:dyDescent="0.25">
      <c r="A138" s="500">
        <v>746960</v>
      </c>
      <c r="B138" s="498">
        <f t="shared" si="11"/>
        <v>881412.79999999993</v>
      </c>
      <c r="C138" s="498">
        <f t="shared" si="12"/>
        <v>476439.3513513513</v>
      </c>
      <c r="D138" s="498"/>
      <c r="E138" s="498">
        <f t="shared" si="13"/>
        <v>383222.95652173914</v>
      </c>
    </row>
    <row r="139" spans="1:5" ht="15.6" x14ac:dyDescent="0.25">
      <c r="A139" s="502">
        <f>SUM(A124:A138)</f>
        <v>10828770.009999998</v>
      </c>
      <c r="B139" s="446"/>
      <c r="C139" s="446">
        <f>+'Procurement Tables ($)'!J133*2.35</f>
        <v>12149782.293743273</v>
      </c>
      <c r="D139" s="446"/>
      <c r="E139" s="446">
        <f>SUM(E125:E138)</f>
        <v>5555629.8312173923</v>
      </c>
    </row>
    <row r="140" spans="1:5" ht="15.6" x14ac:dyDescent="0.25">
      <c r="A140" s="500"/>
      <c r="B140" s="498"/>
      <c r="C140" s="498"/>
      <c r="D140" s="498"/>
      <c r="E140" s="498">
        <f t="shared" ref="E140:E153" si="14">+B140/2.3</f>
        <v>0</v>
      </c>
    </row>
    <row r="141" spans="1:5" ht="15.6" x14ac:dyDescent="0.25">
      <c r="A141" s="500">
        <v>1123586</v>
      </c>
      <c r="B141" s="498">
        <f t="shared" ref="B141:B153" si="15">+A141*1.18</f>
        <v>1325831.48</v>
      </c>
      <c r="C141" s="498">
        <f t="shared" ref="C141:C153" si="16">+B141/1.85</f>
        <v>716665.66486486478</v>
      </c>
      <c r="D141" s="498"/>
      <c r="E141" s="498">
        <f t="shared" si="14"/>
        <v>576448.46956521738</v>
      </c>
    </row>
    <row r="142" spans="1:5" ht="15.6" x14ac:dyDescent="0.25">
      <c r="A142" s="500">
        <v>626430</v>
      </c>
      <c r="B142" s="498">
        <f t="shared" si="15"/>
        <v>739187.39999999991</v>
      </c>
      <c r="C142" s="498">
        <f t="shared" si="16"/>
        <v>399560.75675675669</v>
      </c>
      <c r="D142" s="498"/>
      <c r="E142" s="498">
        <f t="shared" si="14"/>
        <v>321385.82608695648</v>
      </c>
    </row>
    <row r="143" spans="1:5" ht="15.6" x14ac:dyDescent="0.25">
      <c r="A143" s="500">
        <v>557575</v>
      </c>
      <c r="B143" s="498">
        <f t="shared" si="15"/>
        <v>657938.5</v>
      </c>
      <c r="C143" s="498">
        <f t="shared" si="16"/>
        <v>355642.43243243243</v>
      </c>
      <c r="D143" s="498"/>
      <c r="E143" s="498">
        <f t="shared" si="14"/>
        <v>286060.21739130438</v>
      </c>
    </row>
    <row r="144" spans="1:5" ht="15.6" x14ac:dyDescent="0.25">
      <c r="A144" s="500">
        <v>797618</v>
      </c>
      <c r="B144" s="498">
        <f t="shared" si="15"/>
        <v>941189.24</v>
      </c>
      <c r="C144" s="498">
        <f t="shared" si="16"/>
        <v>508750.9405405405</v>
      </c>
      <c r="D144" s="498"/>
      <c r="E144" s="498">
        <f t="shared" si="14"/>
        <v>409212.71304347826</v>
      </c>
    </row>
    <row r="145" spans="1:5" ht="15.6" x14ac:dyDescent="0.25">
      <c r="A145" s="500">
        <v>439966</v>
      </c>
      <c r="B145" s="498">
        <f t="shared" si="15"/>
        <v>519159.87999999995</v>
      </c>
      <c r="C145" s="498">
        <f t="shared" si="16"/>
        <v>280626.96216216212</v>
      </c>
      <c r="D145" s="498"/>
      <c r="E145" s="498">
        <f t="shared" si="14"/>
        <v>225721.68695652173</v>
      </c>
    </row>
    <row r="146" spans="1:5" ht="15.6" x14ac:dyDescent="0.25">
      <c r="A146" s="500">
        <v>1162145</v>
      </c>
      <c r="B146" s="498">
        <f t="shared" si="15"/>
        <v>1371331.0999999999</v>
      </c>
      <c r="C146" s="498">
        <f t="shared" si="16"/>
        <v>741260.05405405397</v>
      </c>
      <c r="D146" s="498"/>
      <c r="E146" s="498">
        <f t="shared" si="14"/>
        <v>596230.91304347827</v>
      </c>
    </row>
    <row r="147" spans="1:5" ht="15.6" x14ac:dyDescent="0.25">
      <c r="A147" s="500">
        <v>465928</v>
      </c>
      <c r="B147" s="498">
        <f t="shared" si="15"/>
        <v>549795.03999999992</v>
      </c>
      <c r="C147" s="498">
        <f t="shared" si="16"/>
        <v>297186.50810810807</v>
      </c>
      <c r="D147" s="498"/>
      <c r="E147" s="498">
        <f t="shared" si="14"/>
        <v>239041.32173913042</v>
      </c>
    </row>
    <row r="148" spans="1:5" ht="15.6" x14ac:dyDescent="0.25">
      <c r="A148" s="500">
        <v>1261648</v>
      </c>
      <c r="B148" s="498">
        <f t="shared" si="15"/>
        <v>1488744.64</v>
      </c>
      <c r="C148" s="498">
        <f t="shared" si="16"/>
        <v>804726.83243243233</v>
      </c>
      <c r="D148" s="498"/>
      <c r="E148" s="498">
        <f t="shared" si="14"/>
        <v>647280.27826086956</v>
      </c>
    </row>
    <row r="149" spans="1:5" ht="15.6" x14ac:dyDescent="0.25">
      <c r="A149" s="500">
        <v>854543</v>
      </c>
      <c r="B149" s="498">
        <f t="shared" si="15"/>
        <v>1008360.74</v>
      </c>
      <c r="C149" s="498">
        <f t="shared" si="16"/>
        <v>545059.85945945943</v>
      </c>
      <c r="D149" s="498"/>
      <c r="E149" s="498">
        <f t="shared" si="14"/>
        <v>438417.71304347832</v>
      </c>
    </row>
    <row r="150" spans="1:5" ht="15.6" x14ac:dyDescent="0.25">
      <c r="A150" s="500">
        <v>550875</v>
      </c>
      <c r="B150" s="498">
        <f t="shared" si="15"/>
        <v>650032.5</v>
      </c>
      <c r="C150" s="498">
        <f t="shared" si="16"/>
        <v>351368.91891891888</v>
      </c>
      <c r="D150" s="498"/>
      <c r="E150" s="498">
        <f t="shared" si="14"/>
        <v>282622.82608695654</v>
      </c>
    </row>
    <row r="151" spans="1:5" ht="15.6" x14ac:dyDescent="0.25">
      <c r="A151" s="500">
        <v>899542</v>
      </c>
      <c r="B151" s="498">
        <f t="shared" si="15"/>
        <v>1061459.56</v>
      </c>
      <c r="C151" s="498">
        <f t="shared" si="16"/>
        <v>573761.92432432435</v>
      </c>
      <c r="D151" s="498"/>
      <c r="E151" s="498">
        <f t="shared" si="14"/>
        <v>461504.15652173921</v>
      </c>
    </row>
    <row r="152" spans="1:5" ht="15.6" x14ac:dyDescent="0.25">
      <c r="A152" s="500">
        <v>1057675</v>
      </c>
      <c r="B152" s="498">
        <f t="shared" si="15"/>
        <v>1248056.5</v>
      </c>
      <c r="C152" s="498">
        <f t="shared" si="16"/>
        <v>674625.13513513515</v>
      </c>
      <c r="D152" s="498"/>
      <c r="E152" s="498">
        <f t="shared" si="14"/>
        <v>542633.2608695653</v>
      </c>
    </row>
    <row r="153" spans="1:5" ht="15.6" x14ac:dyDescent="0.25">
      <c r="A153" s="500">
        <v>1068949</v>
      </c>
      <c r="B153" s="498">
        <f t="shared" si="15"/>
        <v>1261359.8199999998</v>
      </c>
      <c r="C153" s="498">
        <f t="shared" si="16"/>
        <v>681816.11891891877</v>
      </c>
      <c r="D153" s="498"/>
      <c r="E153" s="498">
        <f t="shared" si="14"/>
        <v>548417.31304347818</v>
      </c>
    </row>
    <row r="154" spans="1:5" ht="15.6" x14ac:dyDescent="0.25">
      <c r="A154" s="499"/>
      <c r="B154" s="499"/>
      <c r="C154" s="499"/>
      <c r="D154" s="499"/>
      <c r="E154" s="499">
        <f>SUM(E140:E153)</f>
        <v>5574976.6956521748</v>
      </c>
    </row>
    <row r="155" spans="1:5" ht="15.6" x14ac:dyDescent="0.25">
      <c r="A155" s="500"/>
      <c r="B155" s="498"/>
      <c r="C155" s="498"/>
      <c r="D155" s="498"/>
      <c r="E155" s="498"/>
    </row>
    <row r="156" spans="1:5" ht="15.6" x14ac:dyDescent="0.25">
      <c r="A156" s="500">
        <v>841326</v>
      </c>
      <c r="B156" s="498">
        <f t="shared" ref="B156:B171" si="17">+A156*1.18</f>
        <v>992764.67999999993</v>
      </c>
      <c r="C156" s="498">
        <f t="shared" ref="C156:C171" si="18">+B156/1.85</f>
        <v>536629.55675675673</v>
      </c>
      <c r="D156" s="498"/>
      <c r="E156" s="498">
        <f t="shared" ref="E156:E171" si="19">+B156/2.3</f>
        <v>431636.81739130436</v>
      </c>
    </row>
    <row r="157" spans="1:5" ht="15.6" x14ac:dyDescent="0.25">
      <c r="A157" s="500">
        <v>1176897</v>
      </c>
      <c r="B157" s="498">
        <f t="shared" si="17"/>
        <v>1388738.46</v>
      </c>
      <c r="C157" s="498">
        <f t="shared" si="18"/>
        <v>750669.43783783773</v>
      </c>
      <c r="D157" s="498"/>
      <c r="E157" s="498">
        <f t="shared" si="19"/>
        <v>603799.33043478266</v>
      </c>
    </row>
    <row r="158" spans="1:5" ht="15.6" x14ac:dyDescent="0.25">
      <c r="A158" s="500">
        <v>977657</v>
      </c>
      <c r="B158" s="498">
        <f t="shared" si="17"/>
        <v>1153635.26</v>
      </c>
      <c r="C158" s="498">
        <f t="shared" si="18"/>
        <v>623586.62702702696</v>
      </c>
      <c r="D158" s="498"/>
      <c r="E158" s="498">
        <f t="shared" si="19"/>
        <v>501580.54782608699</v>
      </c>
    </row>
    <row r="159" spans="1:5" ht="15.6" x14ac:dyDescent="0.25">
      <c r="A159" s="500">
        <v>690615</v>
      </c>
      <c r="B159" s="498">
        <f t="shared" si="17"/>
        <v>814925.7</v>
      </c>
      <c r="C159" s="498">
        <f t="shared" si="18"/>
        <v>440500.37837837834</v>
      </c>
      <c r="D159" s="498"/>
      <c r="E159" s="498">
        <f t="shared" si="19"/>
        <v>354315.52173913043</v>
      </c>
    </row>
    <row r="160" spans="1:5" ht="15.6" x14ac:dyDescent="0.25">
      <c r="A160" s="500">
        <v>1230718</v>
      </c>
      <c r="B160" s="498">
        <f t="shared" si="17"/>
        <v>1452247.24</v>
      </c>
      <c r="C160" s="498">
        <f t="shared" si="18"/>
        <v>784998.50810810807</v>
      </c>
      <c r="D160" s="498"/>
      <c r="E160" s="498">
        <f t="shared" si="19"/>
        <v>631411.84347826091</v>
      </c>
    </row>
    <row r="161" spans="1:5" ht="15.6" x14ac:dyDescent="0.25">
      <c r="A161" s="500">
        <v>603795</v>
      </c>
      <c r="B161" s="498">
        <f t="shared" si="17"/>
        <v>712478.1</v>
      </c>
      <c r="C161" s="498">
        <f t="shared" si="18"/>
        <v>385123.29729729728</v>
      </c>
      <c r="D161" s="498"/>
      <c r="E161" s="498">
        <f t="shared" si="19"/>
        <v>309773.08695652173</v>
      </c>
    </row>
    <row r="162" spans="1:5" ht="15.6" x14ac:dyDescent="0.25">
      <c r="A162" s="500">
        <v>715653</v>
      </c>
      <c r="B162" s="498">
        <f t="shared" si="17"/>
        <v>844470.53999999992</v>
      </c>
      <c r="C162" s="498">
        <f t="shared" si="18"/>
        <v>456470.5621621621</v>
      </c>
      <c r="D162" s="498"/>
      <c r="E162" s="498">
        <f t="shared" si="19"/>
        <v>367161.1043478261</v>
      </c>
    </row>
    <row r="163" spans="1:5" ht="15.6" x14ac:dyDescent="0.25">
      <c r="A163" s="500">
        <v>986648</v>
      </c>
      <c r="B163" s="498">
        <f t="shared" si="17"/>
        <v>1164244.6399999999</v>
      </c>
      <c r="C163" s="498">
        <f t="shared" si="18"/>
        <v>629321.42702702689</v>
      </c>
      <c r="D163" s="498"/>
      <c r="E163" s="498">
        <f t="shared" si="19"/>
        <v>506193.32173913042</v>
      </c>
    </row>
    <row r="164" spans="1:5" ht="15.6" x14ac:dyDescent="0.25">
      <c r="A164" s="500">
        <v>1050859</v>
      </c>
      <c r="B164" s="498">
        <f t="shared" si="17"/>
        <v>1240013.6199999999</v>
      </c>
      <c r="C164" s="498">
        <f t="shared" si="18"/>
        <v>670277.63243243238</v>
      </c>
      <c r="D164" s="498"/>
      <c r="E164" s="498">
        <f t="shared" si="19"/>
        <v>539136.35652173916</v>
      </c>
    </row>
    <row r="165" spans="1:5" ht="15.6" x14ac:dyDescent="0.25">
      <c r="A165" s="500">
        <v>641410</v>
      </c>
      <c r="B165" s="498">
        <f t="shared" si="17"/>
        <v>756863.79999999993</v>
      </c>
      <c r="C165" s="498">
        <f t="shared" si="18"/>
        <v>409115.56756756752</v>
      </c>
      <c r="D165" s="498"/>
      <c r="E165" s="498">
        <f t="shared" si="19"/>
        <v>329071.21739130432</v>
      </c>
    </row>
    <row r="166" spans="1:5" ht="15.6" x14ac:dyDescent="0.25">
      <c r="A166" s="500">
        <v>1364271</v>
      </c>
      <c r="B166" s="498">
        <f t="shared" si="17"/>
        <v>1609839.78</v>
      </c>
      <c r="C166" s="498">
        <f t="shared" si="18"/>
        <v>870183.66486486478</v>
      </c>
      <c r="D166" s="498"/>
      <c r="E166" s="498">
        <f t="shared" si="19"/>
        <v>699930.33913043491</v>
      </c>
    </row>
    <row r="167" spans="1:5" ht="15.6" x14ac:dyDescent="0.25">
      <c r="A167" s="500">
        <v>692832</v>
      </c>
      <c r="B167" s="498">
        <f t="shared" si="17"/>
        <v>817541.76</v>
      </c>
      <c r="C167" s="498">
        <f t="shared" si="18"/>
        <v>441914.46486486483</v>
      </c>
      <c r="D167" s="498"/>
      <c r="E167" s="498">
        <f t="shared" si="19"/>
        <v>355452.93913043482</v>
      </c>
    </row>
    <row r="168" spans="1:5" ht="15.6" x14ac:dyDescent="0.25">
      <c r="A168" s="500">
        <v>753285</v>
      </c>
      <c r="B168" s="498">
        <f t="shared" si="17"/>
        <v>888876.29999999993</v>
      </c>
      <c r="C168" s="498">
        <f t="shared" si="18"/>
        <v>480473.67567567562</v>
      </c>
      <c r="D168" s="498"/>
      <c r="E168" s="498">
        <f t="shared" si="19"/>
        <v>386467.95652173914</v>
      </c>
    </row>
    <row r="169" spans="1:5" ht="15.6" x14ac:dyDescent="0.25">
      <c r="A169" s="500">
        <v>575280</v>
      </c>
      <c r="B169" s="498">
        <f t="shared" si="17"/>
        <v>678830.39999999991</v>
      </c>
      <c r="C169" s="498">
        <f t="shared" si="18"/>
        <v>366935.3513513513</v>
      </c>
      <c r="D169" s="498"/>
      <c r="E169" s="498">
        <f t="shared" si="19"/>
        <v>295143.65217391303</v>
      </c>
    </row>
    <row r="170" spans="1:5" ht="15.6" x14ac:dyDescent="0.25">
      <c r="A170" s="500">
        <v>1696556</v>
      </c>
      <c r="B170" s="498">
        <f t="shared" si="17"/>
        <v>2001936.0799999998</v>
      </c>
      <c r="C170" s="498">
        <f t="shared" si="18"/>
        <v>1082127.6108108107</v>
      </c>
      <c r="D170" s="498"/>
      <c r="E170" s="498">
        <f t="shared" si="19"/>
        <v>870406.99130434787</v>
      </c>
    </row>
    <row r="171" spans="1:5" ht="15.6" x14ac:dyDescent="0.25">
      <c r="A171" s="500">
        <v>749965</v>
      </c>
      <c r="B171" s="498">
        <f t="shared" si="17"/>
        <v>884958.7</v>
      </c>
      <c r="C171" s="498">
        <f t="shared" si="18"/>
        <v>478356.05405405402</v>
      </c>
      <c r="D171" s="498"/>
      <c r="E171" s="498">
        <f t="shared" si="19"/>
        <v>384764.65217391303</v>
      </c>
    </row>
    <row r="172" spans="1:5" ht="15.6" x14ac:dyDescent="0.25">
      <c r="A172" s="499"/>
      <c r="B172" s="499"/>
      <c r="C172" s="499"/>
      <c r="D172" s="499"/>
      <c r="E172" s="499">
        <f>SUM(E156:E171)</f>
        <v>7566245.6782608703</v>
      </c>
    </row>
    <row r="173" spans="1:5" ht="15.6" x14ac:dyDescent="0.25">
      <c r="A173" s="500"/>
      <c r="B173" s="498"/>
      <c r="C173" s="498"/>
      <c r="D173" s="498"/>
      <c r="E173" s="498"/>
    </row>
    <row r="174" spans="1:5" ht="15.6" x14ac:dyDescent="0.25">
      <c r="A174" s="500">
        <v>1446056</v>
      </c>
      <c r="B174" s="498">
        <f t="shared" ref="B174:B187" si="20">+A174*1.18</f>
        <v>1706346.0799999998</v>
      </c>
      <c r="C174" s="498">
        <f t="shared" ref="C174:C187" si="21">+B174/1.85</f>
        <v>922349.23243243236</v>
      </c>
      <c r="D174" s="498"/>
      <c r="E174" s="498">
        <f t="shared" ref="E174:E187" si="22">+B174/2.3</f>
        <v>741889.6</v>
      </c>
    </row>
    <row r="175" spans="1:5" ht="15.6" x14ac:dyDescent="0.25">
      <c r="A175" s="500">
        <v>646811.5</v>
      </c>
      <c r="B175" s="498">
        <f t="shared" si="20"/>
        <v>763237.57</v>
      </c>
      <c r="C175" s="498">
        <f t="shared" si="21"/>
        <v>412560.84864864859</v>
      </c>
      <c r="D175" s="498"/>
      <c r="E175" s="498">
        <f t="shared" si="22"/>
        <v>331842.42173913046</v>
      </c>
    </row>
    <row r="176" spans="1:5" ht="15.6" x14ac:dyDescent="0.25">
      <c r="A176" s="500">
        <v>436968.1</v>
      </c>
      <c r="B176" s="498">
        <f t="shared" si="20"/>
        <v>515622.35799999995</v>
      </c>
      <c r="C176" s="498">
        <f t="shared" si="21"/>
        <v>278714.78810810804</v>
      </c>
      <c r="D176" s="498"/>
      <c r="E176" s="498">
        <f t="shared" si="22"/>
        <v>224183.63391304348</v>
      </c>
    </row>
    <row r="177" spans="1:5" ht="15.6" x14ac:dyDescent="0.25">
      <c r="A177" s="500">
        <v>1367486</v>
      </c>
      <c r="B177" s="498">
        <f t="shared" si="20"/>
        <v>1613633.48</v>
      </c>
      <c r="C177" s="498">
        <f t="shared" si="21"/>
        <v>872234.31351351342</v>
      </c>
      <c r="D177" s="498"/>
      <c r="E177" s="498">
        <f t="shared" si="22"/>
        <v>701579.77391304355</v>
      </c>
    </row>
    <row r="178" spans="1:5" ht="15.6" x14ac:dyDescent="0.25">
      <c r="A178" s="500">
        <v>892324</v>
      </c>
      <c r="B178" s="498">
        <f t="shared" si="20"/>
        <v>1052942.3199999998</v>
      </c>
      <c r="C178" s="498">
        <f t="shared" si="21"/>
        <v>569158.01081081072</v>
      </c>
      <c r="D178" s="498"/>
      <c r="E178" s="498">
        <f t="shared" si="22"/>
        <v>457801.00869565213</v>
      </c>
    </row>
    <row r="179" spans="1:5" ht="15.6" x14ac:dyDescent="0.25">
      <c r="A179" s="500">
        <v>1703069.5</v>
      </c>
      <c r="B179" s="498">
        <f t="shared" si="20"/>
        <v>2009622.01</v>
      </c>
      <c r="C179" s="498">
        <f t="shared" si="21"/>
        <v>1086282.1675675674</v>
      </c>
      <c r="D179" s="498"/>
      <c r="E179" s="498">
        <f t="shared" si="22"/>
        <v>873748.70000000007</v>
      </c>
    </row>
    <row r="180" spans="1:5" ht="15.6" x14ac:dyDescent="0.25">
      <c r="A180" s="500">
        <v>1367298.51</v>
      </c>
      <c r="B180" s="498">
        <f t="shared" si="20"/>
        <v>1613412.2418</v>
      </c>
      <c r="C180" s="498">
        <f t="shared" si="21"/>
        <v>872114.72529729723</v>
      </c>
      <c r="D180" s="498"/>
      <c r="E180" s="498">
        <f t="shared" si="22"/>
        <v>701483.58339130436</v>
      </c>
    </row>
    <row r="181" spans="1:5" ht="15.6" x14ac:dyDescent="0.25">
      <c r="A181" s="500">
        <v>743487</v>
      </c>
      <c r="B181" s="498">
        <f t="shared" si="20"/>
        <v>877314.65999999992</v>
      </c>
      <c r="C181" s="498">
        <f t="shared" si="21"/>
        <v>474224.14054054045</v>
      </c>
      <c r="D181" s="498"/>
      <c r="E181" s="498">
        <f t="shared" si="22"/>
        <v>381441.15652173915</v>
      </c>
    </row>
    <row r="182" spans="1:5" ht="15.6" x14ac:dyDescent="0.25">
      <c r="A182" s="500">
        <v>934804</v>
      </c>
      <c r="B182" s="498">
        <f t="shared" si="20"/>
        <v>1103068.72</v>
      </c>
      <c r="C182" s="498">
        <f t="shared" si="21"/>
        <v>596253.36216216208</v>
      </c>
      <c r="D182" s="498"/>
      <c r="E182" s="498">
        <f t="shared" si="22"/>
        <v>479595.09565217391</v>
      </c>
    </row>
    <row r="183" spans="1:5" ht="15.6" x14ac:dyDescent="0.25">
      <c r="A183" s="500">
        <v>1284417</v>
      </c>
      <c r="B183" s="498">
        <f t="shared" si="20"/>
        <v>1515612.0599999998</v>
      </c>
      <c r="C183" s="498">
        <f t="shared" si="21"/>
        <v>819249.76216216199</v>
      </c>
      <c r="D183" s="498"/>
      <c r="E183" s="498">
        <f t="shared" si="22"/>
        <v>658961.76521739131</v>
      </c>
    </row>
    <row r="184" spans="1:5" ht="15.6" x14ac:dyDescent="0.25">
      <c r="A184" s="500">
        <v>1191586</v>
      </c>
      <c r="B184" s="498">
        <f t="shared" si="20"/>
        <v>1406071.48</v>
      </c>
      <c r="C184" s="498">
        <f t="shared" si="21"/>
        <v>760038.6378378378</v>
      </c>
      <c r="D184" s="498"/>
      <c r="E184" s="498">
        <f t="shared" si="22"/>
        <v>611335.42608695652</v>
      </c>
    </row>
    <row r="185" spans="1:5" ht="15.6" x14ac:dyDescent="0.25">
      <c r="A185" s="500">
        <v>1125282</v>
      </c>
      <c r="B185" s="498">
        <f t="shared" si="20"/>
        <v>1327832.76</v>
      </c>
      <c r="C185" s="498">
        <f t="shared" si="21"/>
        <v>717747.43783783785</v>
      </c>
      <c r="D185" s="498"/>
      <c r="E185" s="498">
        <f t="shared" si="22"/>
        <v>577318.59130434785</v>
      </c>
    </row>
    <row r="186" spans="1:5" ht="15.6" x14ac:dyDescent="0.25">
      <c r="A186" s="500">
        <v>887540</v>
      </c>
      <c r="B186" s="498">
        <f t="shared" si="20"/>
        <v>1047297.2</v>
      </c>
      <c r="C186" s="498">
        <f t="shared" si="21"/>
        <v>566106.59459459456</v>
      </c>
      <c r="D186" s="498"/>
      <c r="E186" s="498">
        <f t="shared" si="22"/>
        <v>455346.60869565216</v>
      </c>
    </row>
    <row r="187" spans="1:5" ht="15.6" x14ac:dyDescent="0.25">
      <c r="A187" s="500">
        <v>726360</v>
      </c>
      <c r="B187" s="498">
        <f t="shared" si="20"/>
        <v>857104.79999999993</v>
      </c>
      <c r="C187" s="498">
        <f t="shared" si="21"/>
        <v>463299.89189189184</v>
      </c>
      <c r="D187" s="498"/>
      <c r="E187" s="498">
        <f t="shared" si="22"/>
        <v>372654.26086956519</v>
      </c>
    </row>
    <row r="188" spans="1:5" ht="15.6" x14ac:dyDescent="0.25">
      <c r="A188" s="499">
        <f>SUM(A174:A187)</f>
        <v>14753489.609999999</v>
      </c>
      <c r="B188" s="499"/>
      <c r="C188" s="499"/>
      <c r="D188" s="499"/>
      <c r="E188" s="499">
        <f>SUM(E174:E187)</f>
        <v>7569181.626000002</v>
      </c>
    </row>
    <row r="189" spans="1:5" ht="15.6" x14ac:dyDescent="0.25">
      <c r="A189" s="499"/>
      <c r="B189" s="499"/>
      <c r="C189" s="499"/>
      <c r="D189" s="499"/>
      <c r="E189" s="499"/>
    </row>
    <row r="190" spans="1:5" ht="15.6" x14ac:dyDescent="0.25">
      <c r="A190" s="503">
        <f>1841084</f>
        <v>1841084</v>
      </c>
      <c r="B190" s="498">
        <f t="shared" ref="B190:B201" si="23">+A190*1.18</f>
        <v>2172479.12</v>
      </c>
      <c r="C190" s="498">
        <f t="shared" ref="C190:C201" si="24">+B190/1.85</f>
        <v>1174313.0378378378</v>
      </c>
      <c r="D190" s="498"/>
      <c r="E190" s="498">
        <f t="shared" ref="E190:E201" si="25">+B190/2.3</f>
        <v>944556.13913043495</v>
      </c>
    </row>
    <row r="191" spans="1:5" ht="15.6" x14ac:dyDescent="0.25">
      <c r="A191" s="503">
        <f>1344700</f>
        <v>1344700</v>
      </c>
      <c r="B191" s="498">
        <f t="shared" si="23"/>
        <v>1586746</v>
      </c>
      <c r="C191" s="498">
        <f t="shared" si="24"/>
        <v>857700.54054054047</v>
      </c>
      <c r="D191" s="498"/>
      <c r="E191" s="498">
        <f t="shared" si="25"/>
        <v>689889.56521739135</v>
      </c>
    </row>
    <row r="192" spans="1:5" ht="15.6" x14ac:dyDescent="0.25">
      <c r="A192" s="503">
        <f>1596475</f>
        <v>1596475</v>
      </c>
      <c r="B192" s="498">
        <f t="shared" si="23"/>
        <v>1883840.5</v>
      </c>
      <c r="C192" s="498">
        <f t="shared" si="24"/>
        <v>1018292.1621621621</v>
      </c>
      <c r="D192" s="498"/>
      <c r="E192" s="498">
        <f t="shared" si="25"/>
        <v>819061.08695652185</v>
      </c>
    </row>
    <row r="193" spans="1:5" ht="15.6" x14ac:dyDescent="0.25">
      <c r="A193" s="503">
        <f>677153</f>
        <v>677153</v>
      </c>
      <c r="B193" s="498">
        <f t="shared" si="23"/>
        <v>799040.53999999992</v>
      </c>
      <c r="C193" s="498">
        <f t="shared" si="24"/>
        <v>431913.80540540535</v>
      </c>
      <c r="D193" s="498"/>
      <c r="E193" s="498">
        <f t="shared" si="25"/>
        <v>347408.93043478258</v>
      </c>
    </row>
    <row r="194" spans="1:5" ht="15.6" x14ac:dyDescent="0.25">
      <c r="A194" s="503">
        <f>923086</f>
        <v>923086</v>
      </c>
      <c r="B194" s="498">
        <f t="shared" si="23"/>
        <v>1089241.48</v>
      </c>
      <c r="C194" s="498">
        <f t="shared" si="24"/>
        <v>588779.17837837839</v>
      </c>
      <c r="D194" s="498"/>
      <c r="E194" s="498">
        <f t="shared" si="25"/>
        <v>473583.25217391306</v>
      </c>
    </row>
    <row r="195" spans="1:5" ht="15.6" x14ac:dyDescent="0.25">
      <c r="A195" s="503">
        <f>920238.18</f>
        <v>920238.18</v>
      </c>
      <c r="B195" s="498">
        <f t="shared" si="23"/>
        <v>1085881.0523999999</v>
      </c>
      <c r="C195" s="498">
        <f t="shared" si="24"/>
        <v>586962.73102702701</v>
      </c>
      <c r="D195" s="498"/>
      <c r="E195" s="498">
        <f t="shared" si="25"/>
        <v>472122.19669565215</v>
      </c>
    </row>
    <row r="196" spans="1:5" ht="15.6" x14ac:dyDescent="0.25">
      <c r="A196" s="503">
        <f>1408081</f>
        <v>1408081</v>
      </c>
      <c r="B196" s="498">
        <f t="shared" si="23"/>
        <v>1661535.5799999998</v>
      </c>
      <c r="C196" s="498">
        <f t="shared" si="24"/>
        <v>898127.3405405404</v>
      </c>
      <c r="D196" s="498"/>
      <c r="E196" s="498">
        <f t="shared" si="25"/>
        <v>722406.77391304343</v>
      </c>
    </row>
    <row r="197" spans="1:5" ht="15.6" x14ac:dyDescent="0.25">
      <c r="A197" s="503">
        <f>439113.5</f>
        <v>439113.5</v>
      </c>
      <c r="B197" s="498">
        <f t="shared" si="23"/>
        <v>518153.93</v>
      </c>
      <c r="C197" s="498">
        <f t="shared" si="24"/>
        <v>280083.20540540537</v>
      </c>
      <c r="D197" s="498"/>
      <c r="E197" s="498">
        <f t="shared" si="25"/>
        <v>225284.31739130436</v>
      </c>
    </row>
    <row r="198" spans="1:5" ht="15.6" x14ac:dyDescent="0.25">
      <c r="A198" s="503">
        <f>444564</f>
        <v>444564</v>
      </c>
      <c r="B198" s="498">
        <f t="shared" si="23"/>
        <v>524585.52</v>
      </c>
      <c r="C198" s="498">
        <f t="shared" si="24"/>
        <v>283559.74054054054</v>
      </c>
      <c r="D198" s="498"/>
      <c r="E198" s="498">
        <f t="shared" si="25"/>
        <v>228080.66086956524</v>
      </c>
    </row>
    <row r="199" spans="1:5" ht="15.6" x14ac:dyDescent="0.25">
      <c r="A199" s="503">
        <f>1171303.1</f>
        <v>1171303.1000000001</v>
      </c>
      <c r="B199" s="498">
        <f t="shared" si="23"/>
        <v>1382137.6580000001</v>
      </c>
      <c r="C199" s="498">
        <f t="shared" si="24"/>
        <v>747101.43675675674</v>
      </c>
      <c r="D199" s="498"/>
      <c r="E199" s="498">
        <f t="shared" si="25"/>
        <v>600929.41652173921</v>
      </c>
    </row>
    <row r="200" spans="1:5" ht="15.6" x14ac:dyDescent="0.25">
      <c r="A200" s="503">
        <f>1695837.4</f>
        <v>1695837.4</v>
      </c>
      <c r="B200" s="498">
        <f t="shared" si="23"/>
        <v>2001088.1319999998</v>
      </c>
      <c r="C200" s="498">
        <f t="shared" si="24"/>
        <v>1081669.2605405403</v>
      </c>
      <c r="D200" s="498"/>
      <c r="E200" s="498">
        <f t="shared" si="25"/>
        <v>870038.31826086948</v>
      </c>
    </row>
    <row r="201" spans="1:5" ht="15.6" x14ac:dyDescent="0.25">
      <c r="A201" s="503">
        <f>913885</f>
        <v>913885</v>
      </c>
      <c r="B201" s="498">
        <f t="shared" si="23"/>
        <v>1078384.3</v>
      </c>
      <c r="C201" s="498">
        <f t="shared" si="24"/>
        <v>582910.43243243243</v>
      </c>
      <c r="D201" s="498"/>
      <c r="E201" s="498">
        <f t="shared" si="25"/>
        <v>468862.73913043481</v>
      </c>
    </row>
    <row r="202" spans="1:5" ht="15.6" x14ac:dyDescent="0.25">
      <c r="A202" s="499"/>
      <c r="B202" s="499"/>
      <c r="C202" s="499"/>
      <c r="D202" s="499">
        <f>+D203+'Procurement Tables ($)'!J15+'Procurement Tables ($)'!J8+'Procurement Tables ($)'!J263+'Procurement Tables ($)'!J261+'Procurement Tables ($)'!J273+'Procurement Tables ($)'!J274+'Procurement Tables ($)'!J277</f>
        <v>89766602.006130144</v>
      </c>
      <c r="E202" s="499">
        <f>+'Procurement Tables ($)'!J183+'Procurement Tables ($)'!J165+'Procurement Tables ($)'!J149+'Procurement Tables ($)'!J133+'Procurement Tables ($)'!J117+'Procurement Tables ($)'!J103+'Procurement Tables ($)'!J91+'Procurement Tables ($)'!J78+'Procurement Tables ($)'!J63+'Procurement Tables ($)'!J44+'Procurement Tables ($)'!J32+'Procurement Tables ($)'!J31+'Procurement Tables ($)'!J30+'Procurement Tables ($)'!J29+'Procurement Tables ($)'!J28+'Procurement Tables ($)'!J27+'Procurement Tables ($)'!J26+'Procurement Tables ($)'!J25+'Procurement Tables ($)'!J24+'Procurement Tables ($)'!J23+'Procurement Tables ($)'!J22</f>
        <v>74055162.63383764</v>
      </c>
    </row>
    <row r="203" spans="1:5" ht="15.6" x14ac:dyDescent="0.25">
      <c r="A203" s="499"/>
      <c r="B203" s="446"/>
      <c r="C203" s="446"/>
      <c r="D203" s="446">
        <f>+E203+E202</f>
        <v>77583115.292401165</v>
      </c>
      <c r="E203" s="446">
        <f>+'Procurement Tables ($)'!J228+'Procurement Tables ($)'!J229+'Procurement Tables ($)'!J233+'Procurement Tables ($)'!J239+'Procurement Tables ($)'!J244</f>
        <v>3527952.6585635315</v>
      </c>
    </row>
    <row r="204" spans="1:5" ht="15.6" x14ac:dyDescent="0.25">
      <c r="A204" s="499"/>
      <c r="B204" s="499"/>
      <c r="C204" s="499"/>
      <c r="D204" s="499"/>
      <c r="E204" s="499"/>
    </row>
    <row r="205" spans="1:5" ht="15.6" x14ac:dyDescent="0.25">
      <c r="A205" s="499"/>
      <c r="B205" s="499"/>
      <c r="C205" s="499"/>
      <c r="D205" s="499"/>
      <c r="E205" s="499"/>
    </row>
    <row r="206" spans="1:5" ht="15.6" x14ac:dyDescent="0.25">
      <c r="A206" s="504"/>
      <c r="B206" s="504"/>
      <c r="C206" s="505">
        <v>1998544.2336562162</v>
      </c>
      <c r="D206" s="504"/>
      <c r="E206" s="504"/>
    </row>
    <row r="207" spans="1:5" ht="15.6" x14ac:dyDescent="0.25">
      <c r="A207" s="504"/>
      <c r="B207" s="504"/>
      <c r="C207" s="505">
        <v>1688909.5761686484</v>
      </c>
      <c r="D207" s="504"/>
      <c r="E207" s="504"/>
    </row>
    <row r="208" spans="1:5" ht="15.6" x14ac:dyDescent="0.25">
      <c r="A208" s="504"/>
      <c r="B208" s="504"/>
      <c r="C208" s="505">
        <v>1608936.5758529729</v>
      </c>
      <c r="D208" s="504"/>
      <c r="E208" s="504"/>
    </row>
    <row r="209" spans="1:5" ht="15.6" x14ac:dyDescent="0.25">
      <c r="A209" s="504"/>
      <c r="B209" s="504"/>
      <c r="C209" s="505">
        <v>654832.97982702707</v>
      </c>
      <c r="D209" s="504"/>
      <c r="E209" s="504"/>
    </row>
    <row r="210" spans="1:5" ht="15.6" x14ac:dyDescent="0.25">
      <c r="A210" s="504"/>
      <c r="B210" s="504"/>
      <c r="C210" s="505">
        <v>1021638.8715286487</v>
      </c>
      <c r="D210" s="504"/>
      <c r="E210" s="504"/>
    </row>
    <row r="211" spans="1:5" ht="15.6" x14ac:dyDescent="0.25">
      <c r="A211" s="504"/>
      <c r="B211" s="504"/>
      <c r="C211" s="505">
        <v>1026362.5352691892</v>
      </c>
      <c r="D211" s="504"/>
      <c r="E211" s="504"/>
    </row>
    <row r="212" spans="1:5" ht="15.6" x14ac:dyDescent="0.25">
      <c r="A212" s="504"/>
      <c r="B212" s="504"/>
      <c r="C212" s="505">
        <v>1412252.4570075676</v>
      </c>
      <c r="D212" s="504"/>
      <c r="E212" s="504"/>
    </row>
    <row r="213" spans="1:5" ht="15.6" x14ac:dyDescent="0.25">
      <c r="A213" s="504"/>
      <c r="B213" s="504"/>
      <c r="C213" s="505"/>
      <c r="D213" s="504"/>
      <c r="E213" s="504"/>
    </row>
    <row r="214" spans="1:5" ht="15.6" x14ac:dyDescent="0.25">
      <c r="A214" s="504"/>
      <c r="B214" s="504"/>
      <c r="C214" s="505"/>
      <c r="D214" s="504"/>
      <c r="E214" s="504"/>
    </row>
    <row r="215" spans="1:5" ht="15.6" x14ac:dyDescent="0.25">
      <c r="A215" s="504"/>
      <c r="B215" s="504"/>
      <c r="C215" s="505">
        <v>454208.37433945946</v>
      </c>
      <c r="D215" s="504"/>
      <c r="E215" s="504"/>
    </row>
    <row r="216" spans="1:5" ht="15.6" x14ac:dyDescent="0.25">
      <c r="A216" s="504"/>
      <c r="B216" s="504"/>
      <c r="C216" s="505">
        <v>452052.27349189192</v>
      </c>
      <c r="D216" s="504"/>
      <c r="E216" s="504"/>
    </row>
    <row r="217" spans="1:5" ht="15.6" x14ac:dyDescent="0.25">
      <c r="A217" s="504"/>
      <c r="B217" s="504"/>
      <c r="C217" s="505">
        <v>1415645.9540756759</v>
      </c>
      <c r="D217" s="504"/>
      <c r="E217" s="504"/>
    </row>
    <row r="218" spans="1:5" ht="15.6" x14ac:dyDescent="0.25">
      <c r="A218" s="504"/>
      <c r="B218" s="504"/>
      <c r="C218" s="505">
        <v>2021025.0137340538</v>
      </c>
      <c r="D218" s="504"/>
      <c r="E218" s="504"/>
    </row>
    <row r="219" spans="1:5" ht="15.6" x14ac:dyDescent="0.25">
      <c r="A219" s="504"/>
      <c r="B219" s="504"/>
      <c r="C219" s="505">
        <v>1018218.9082724324</v>
      </c>
      <c r="D219" s="504"/>
      <c r="E219" s="504"/>
    </row>
    <row r="220" spans="1:5" ht="15.6" x14ac:dyDescent="0.25">
      <c r="A220" s="499"/>
      <c r="B220" s="499"/>
      <c r="C220" s="499"/>
      <c r="D220" s="499"/>
      <c r="E220" s="499"/>
    </row>
    <row r="221" spans="1:5" ht="15.6" x14ac:dyDescent="0.25">
      <c r="A221" s="499">
        <v>490000</v>
      </c>
      <c r="B221" s="499" t="e">
        <f>+'Procurement Tables ($)'!H223/#REF!</f>
        <v>#REF!</v>
      </c>
      <c r="C221" s="499"/>
      <c r="D221" s="499"/>
      <c r="E221" s="499"/>
    </row>
    <row r="222" spans="1:5" ht="15.6" x14ac:dyDescent="0.25">
      <c r="A222" s="499"/>
      <c r="B222" s="499"/>
      <c r="C222" s="499"/>
      <c r="D222" s="499"/>
      <c r="E222" s="499"/>
    </row>
    <row r="223" spans="1:5" ht="17.399999999999999" x14ac:dyDescent="0.25">
      <c r="A223" s="506" t="e">
        <f>+#REF!+#REF!</f>
        <v>#REF!</v>
      </c>
      <c r="B223" s="506">
        <f>SUM(B98)</f>
        <v>1485486.66</v>
      </c>
      <c r="C223" s="506"/>
      <c r="D223" s="506"/>
      <c r="E223" s="506"/>
    </row>
    <row r="224" spans="1:5" ht="15.6" x14ac:dyDescent="0.25">
      <c r="A224" s="499">
        <f>+B224*0.2</f>
        <v>3263466.6326054055</v>
      </c>
      <c r="B224" s="499">
        <f>+'Procurement Tables ($)'!I133+'Procurement Tables ($)'!I142+'Procurement Tables ($)'!I157+'Procurement Tables ($)'!I183+'Procurement Tables ($)'!I191</f>
        <v>16317333.163027026</v>
      </c>
      <c r="C224" s="499"/>
      <c r="D224" s="499"/>
      <c r="E224" s="499"/>
    </row>
    <row r="225" spans="1:5" ht="15.6" x14ac:dyDescent="0.25">
      <c r="A225" s="499"/>
      <c r="B225" s="499"/>
      <c r="C225" s="499"/>
      <c r="D225" s="499"/>
      <c r="E225" s="499"/>
    </row>
    <row r="226" spans="1:5" ht="15.6" x14ac:dyDescent="0.25">
      <c r="A226" s="482">
        <v>939998</v>
      </c>
      <c r="B226" s="482">
        <f>+A226*1.18</f>
        <v>1109197.6399999999</v>
      </c>
      <c r="C226" s="482"/>
      <c r="D226" s="482">
        <v>403581.23</v>
      </c>
      <c r="E226" s="482"/>
    </row>
    <row r="227" spans="1:5" ht="15.6" x14ac:dyDescent="0.25">
      <c r="A227" s="482">
        <v>943350</v>
      </c>
      <c r="B227" s="482">
        <f>+A227*1.18</f>
        <v>1113153</v>
      </c>
      <c r="C227" s="482"/>
      <c r="D227" s="482">
        <v>366484.87</v>
      </c>
      <c r="E227" s="482"/>
    </row>
    <row r="228" spans="1:5" ht="15.6" x14ac:dyDescent="0.25">
      <c r="A228" s="499">
        <f>SUM(A226:A227)</f>
        <v>1883348</v>
      </c>
      <c r="B228" s="499"/>
      <c r="C228" s="499"/>
      <c r="D228" s="499">
        <f>SUM(D226:D227)</f>
        <v>770066.1</v>
      </c>
      <c r="E228" s="499"/>
    </row>
    <row r="229" spans="1:5" ht="15.6" x14ac:dyDescent="0.25">
      <c r="A229" s="499"/>
      <c r="B229" s="499"/>
      <c r="C229" s="499"/>
      <c r="D229" s="499"/>
      <c r="E229" s="499"/>
    </row>
    <row r="230" spans="1:5" ht="15.6" x14ac:dyDescent="0.25">
      <c r="A230" s="482">
        <v>453180</v>
      </c>
      <c r="B230" s="482">
        <f>+A230*1.18</f>
        <v>534752.4</v>
      </c>
      <c r="C230" s="482"/>
      <c r="D230" s="482">
        <v>206213.22</v>
      </c>
      <c r="E230" s="498">
        <f>IF(D230&gt;0,D230*1.05,'Procurement Tables ($)'!G232/1.5039)</f>
        <v>216523.88100000002</v>
      </c>
    </row>
    <row r="231" spans="1:5" ht="15.6" x14ac:dyDescent="0.25">
      <c r="A231" s="482">
        <v>399007.4</v>
      </c>
      <c r="B231" s="482">
        <f>+A231*1.18</f>
        <v>470828.73200000002</v>
      </c>
      <c r="C231" s="482"/>
      <c r="D231" s="482">
        <v>210285.26</v>
      </c>
      <c r="E231" s="498">
        <f>IF(D231&gt;0,D231*1.05,'Procurement Tables ($)'!G233/1.5039)</f>
        <v>220799.52300000002</v>
      </c>
    </row>
    <row r="232" spans="1:5" ht="15.6" x14ac:dyDescent="0.25">
      <c r="A232" s="482">
        <v>432000</v>
      </c>
      <c r="B232" s="482">
        <f>+A232*1.18</f>
        <v>509760</v>
      </c>
      <c r="C232" s="482"/>
      <c r="D232" s="482">
        <v>192324.19</v>
      </c>
      <c r="E232" s="498">
        <f>IF(D232&gt;0,D232*1,'Procurement Tables ($)'!G234/1.5039)</f>
        <v>192324.19</v>
      </c>
    </row>
    <row r="233" spans="1:5" ht="15.6" x14ac:dyDescent="0.25">
      <c r="A233" s="482">
        <v>531530</v>
      </c>
      <c r="B233" s="482">
        <f>+A233*1.18</f>
        <v>627205.4</v>
      </c>
      <c r="C233" s="482">
        <v>243410.29</v>
      </c>
      <c r="D233" s="482">
        <v>243410.29</v>
      </c>
      <c r="E233" s="498">
        <f>IF(D233&gt;0,D233*1.05,'Procurement Tables ($)'!G235/1.5039)</f>
        <v>255580.80450000003</v>
      </c>
    </row>
    <row r="234" spans="1:5" ht="15.6" x14ac:dyDescent="0.3">
      <c r="A234" s="447">
        <f>SUM(A230:A233)</f>
        <v>1815717.4</v>
      </c>
      <c r="B234" s="507"/>
      <c r="C234" s="507"/>
      <c r="D234" s="507"/>
      <c r="E234" s="507"/>
    </row>
    <row r="235" spans="1:5" ht="15.6" x14ac:dyDescent="0.25">
      <c r="A235" s="508"/>
      <c r="B235" s="508"/>
      <c r="C235" s="508"/>
      <c r="D235" s="508"/>
      <c r="E235" s="508"/>
    </row>
    <row r="236" spans="1:5" ht="15.6" x14ac:dyDescent="0.25">
      <c r="A236" s="500">
        <v>286750</v>
      </c>
      <c r="B236" s="498">
        <f>+A236*1.18</f>
        <v>338365</v>
      </c>
      <c r="C236" s="498">
        <v>321429.74999999994</v>
      </c>
      <c r="D236" s="498">
        <v>122161.01</v>
      </c>
      <c r="E236" s="498">
        <f>IF(D236&gt;0,D236*1.05,'Procurement Tables ($)'!G238/1.5039)</f>
        <v>128269.06050000001</v>
      </c>
    </row>
    <row r="237" spans="1:5" ht="15.6" x14ac:dyDescent="0.25">
      <c r="A237" s="500">
        <v>378768</v>
      </c>
      <c r="B237" s="498">
        <f>+A237*1.18</f>
        <v>446946.24</v>
      </c>
      <c r="C237" s="498">
        <v>340685.99999999994</v>
      </c>
      <c r="D237" s="498">
        <v>99173.83</v>
      </c>
      <c r="E237" s="498">
        <f>IF(D237&gt;0,D237*1.05,'Procurement Tables ($)'!G239/1.5039)</f>
        <v>104132.5215</v>
      </c>
    </row>
    <row r="238" spans="1:5" ht="15.6" x14ac:dyDescent="0.25">
      <c r="A238" s="500">
        <v>289980</v>
      </c>
      <c r="B238" s="498">
        <f>+A238*1.18</f>
        <v>342176.39999999997</v>
      </c>
      <c r="C238" s="498">
        <v>473735</v>
      </c>
      <c r="D238" s="498">
        <v>163730.87</v>
      </c>
      <c r="E238" s="498">
        <f>IF(D238&gt;0,D238*1.05,'Procurement Tables ($)'!G240/1.5039)</f>
        <v>171917.4135</v>
      </c>
    </row>
    <row r="239" spans="1:5" ht="15.6" x14ac:dyDescent="0.3">
      <c r="A239" s="509">
        <f>SUM(A236:A238)</f>
        <v>955498</v>
      </c>
      <c r="B239" s="509"/>
      <c r="C239" s="509"/>
      <c r="D239" s="509"/>
      <c r="E239" s="510">
        <f>SUM(E236:E238)</f>
        <v>404318.99549999996</v>
      </c>
    </row>
    <row r="240" spans="1:5" ht="15.6" x14ac:dyDescent="0.3">
      <c r="A240" s="491"/>
      <c r="B240" s="511"/>
      <c r="C240" s="511"/>
      <c r="D240" s="511"/>
      <c r="E240" s="511"/>
    </row>
    <row r="241" spans="1:5" ht="15.6" x14ac:dyDescent="0.25">
      <c r="A241" s="500">
        <v>351648</v>
      </c>
      <c r="B241" s="498">
        <f>+A241*1.18</f>
        <v>414944.63999999996</v>
      </c>
      <c r="C241" s="498">
        <f>+B241/1.8</f>
        <v>230524.79999999996</v>
      </c>
      <c r="D241" s="498"/>
      <c r="E241" s="498">
        <f>IF(D241&gt;0,D241*1.05,'Procurement Tables ($)'!G243/1.5039)</f>
        <v>153284.65988430078</v>
      </c>
    </row>
    <row r="242" spans="1:5" ht="15.6" x14ac:dyDescent="0.25">
      <c r="A242" s="500">
        <v>282100</v>
      </c>
      <c r="B242" s="498">
        <f>+A242*1.18</f>
        <v>332878</v>
      </c>
      <c r="C242" s="498">
        <f>+B242/1.8</f>
        <v>184932.22222222222</v>
      </c>
      <c r="D242" s="498"/>
      <c r="E242" s="498">
        <f>IF(D242&gt;0,D242*1.05,'Procurement Tables ($)'!G244/1.5039)</f>
        <v>122968.4302295513</v>
      </c>
    </row>
    <row r="243" spans="1:5" ht="15.6" x14ac:dyDescent="0.25">
      <c r="A243" s="500">
        <v>1170490</v>
      </c>
      <c r="B243" s="498">
        <f>+A243*1.18</f>
        <v>1381178.2</v>
      </c>
      <c r="C243" s="498">
        <f>+B243/1.8</f>
        <v>767321.22222222213</v>
      </c>
      <c r="D243" s="498"/>
      <c r="E243" s="498">
        <f>IF(D243&gt;0,D243*1.05,'Procurement Tables ($)'!G245/1.5039)</f>
        <v>510220.90712296171</v>
      </c>
    </row>
    <row r="244" spans="1:5" ht="15.6" x14ac:dyDescent="0.25">
      <c r="A244" s="500">
        <v>993474</v>
      </c>
      <c r="B244" s="498">
        <f>+A244*1.18</f>
        <v>1172299.3199999998</v>
      </c>
      <c r="C244" s="498">
        <f>+B244/1.8</f>
        <v>651277.39999999991</v>
      </c>
      <c r="D244" s="498"/>
      <c r="E244" s="498">
        <f>IF(D244&gt;0,D244*1.05,'Procurement Tables ($)'!G246/1.5039)</f>
        <v>433058.97998537129</v>
      </c>
    </row>
    <row r="245" spans="1:5" ht="15.6" x14ac:dyDescent="0.25">
      <c r="A245" s="512">
        <f>SUM(A241:A244)</f>
        <v>2797712</v>
      </c>
      <c r="B245" s="484"/>
      <c r="C245" s="484"/>
      <c r="D245" s="484"/>
      <c r="E245" s="484">
        <f>SUM(E241:E244)</f>
        <v>1219532.9772221851</v>
      </c>
    </row>
    <row r="246" spans="1:5" ht="15.6" x14ac:dyDescent="0.3">
      <c r="A246" s="491"/>
      <c r="B246" s="511"/>
      <c r="C246" s="511"/>
      <c r="D246" s="511"/>
      <c r="E246" s="511"/>
    </row>
    <row r="247" spans="1:5" ht="15.6" x14ac:dyDescent="0.25">
      <c r="A247" s="513">
        <v>707412.16216216213</v>
      </c>
      <c r="B247" s="498">
        <f>+A247*1.18</f>
        <v>834746.35135135124</v>
      </c>
      <c r="C247" s="498">
        <f>+B247</f>
        <v>834746.35135135124</v>
      </c>
      <c r="D247" s="498"/>
      <c r="E247" s="498">
        <f>IF(D247&gt;0,D247*1.05,'Procurement Tables ($)'!G249/1.5039)</f>
        <v>555054.42605981196</v>
      </c>
    </row>
    <row r="248" spans="1:5" ht="15.6" x14ac:dyDescent="0.25">
      <c r="A248" s="513">
        <v>705504.59459459456</v>
      </c>
      <c r="B248" s="498">
        <f>+A248*1.18</f>
        <v>832495.42162162159</v>
      </c>
      <c r="C248" s="498">
        <f>+B248</f>
        <v>832495.42162162159</v>
      </c>
      <c r="D248" s="498"/>
      <c r="E248" s="498">
        <f>IF(D248&gt;0,D248*1.05,'Procurement Tables ($)'!G250/1.5039)</f>
        <v>553557.69773364021</v>
      </c>
    </row>
    <row r="249" spans="1:5" ht="15.6" x14ac:dyDescent="0.25">
      <c r="A249" s="514"/>
      <c r="B249" s="515"/>
      <c r="C249" s="515"/>
      <c r="D249" s="516"/>
      <c r="E249" s="517"/>
    </row>
    <row r="250" spans="1:5" ht="15.6" x14ac:dyDescent="0.25">
      <c r="A250" s="515"/>
      <c r="B250" s="514">
        <f>+C250</f>
        <v>0</v>
      </c>
      <c r="C250" s="515">
        <f>+D250*'Procurement Tables ($)'!Q20</f>
        <v>0</v>
      </c>
      <c r="D250" s="516">
        <v>0</v>
      </c>
      <c r="E250" s="517" t="s">
        <v>11</v>
      </c>
    </row>
    <row r="251" spans="1:5" ht="15.6" x14ac:dyDescent="0.25">
      <c r="A251" s="491"/>
      <c r="B251" s="484"/>
      <c r="C251" s="484"/>
      <c r="D251" s="486"/>
      <c r="E251" s="484"/>
    </row>
    <row r="252" spans="1:5" ht="17.399999999999999" x14ac:dyDescent="0.25">
      <c r="A252" s="506" t="e">
        <f>+#REF!+#REF!</f>
        <v>#REF!</v>
      </c>
      <c r="B252" s="506">
        <f>SUM(B123)</f>
        <v>0</v>
      </c>
      <c r="C252" s="506"/>
      <c r="D252" s="506"/>
      <c r="E252" s="506"/>
    </row>
    <row r="253" spans="1:5" ht="15.6" x14ac:dyDescent="0.25">
      <c r="A253" s="499">
        <f>+B253*0.2</f>
        <v>0</v>
      </c>
      <c r="B253" s="499">
        <f>+'Procurement Tables ($)'!I158+'Procurement Tables ($)'!I167+'Procurement Tables ($)'!I182+'Procurement Tables ($)'!I222+'Procurement Tables ($)'!I230</f>
        <v>0</v>
      </c>
      <c r="C253" s="499"/>
      <c r="D253" s="499"/>
      <c r="E253" s="499"/>
    </row>
    <row r="254" spans="1:5" ht="15.6" x14ac:dyDescent="0.25">
      <c r="A254" s="494">
        <v>939998</v>
      </c>
      <c r="B254" s="494">
        <f>+A254*1.18</f>
        <v>1109197.6399999999</v>
      </c>
      <c r="C254" s="494"/>
      <c r="D254" s="494">
        <v>403581.23</v>
      </c>
      <c r="E254" s="494"/>
    </row>
    <row r="255" spans="1:5" ht="15.6" x14ac:dyDescent="0.25">
      <c r="A255" s="494">
        <v>943350</v>
      </c>
      <c r="B255" s="494">
        <f>+A255*1.18</f>
        <v>1113153</v>
      </c>
      <c r="C255" s="494"/>
      <c r="D255" s="494">
        <v>366484.87</v>
      </c>
      <c r="E255" s="494">
        <v>602795</v>
      </c>
    </row>
    <row r="256" spans="1:5" ht="15.6" x14ac:dyDescent="0.25">
      <c r="A256" s="491"/>
      <c r="B256" s="484"/>
      <c r="C256" s="484"/>
      <c r="D256" s="486"/>
      <c r="E256" s="484"/>
    </row>
    <row r="257" spans="1:5" ht="15.6" x14ac:dyDescent="0.25">
      <c r="A257" s="306">
        <v>172777000</v>
      </c>
      <c r="B257" s="306"/>
      <c r="C257" s="306"/>
      <c r="D257" s="306"/>
      <c r="E257" s="306"/>
    </row>
    <row r="258" spans="1:5" ht="15.6" x14ac:dyDescent="0.25">
      <c r="A258" s="476"/>
      <c r="B258" s="476"/>
      <c r="C258" s="476"/>
      <c r="D258" s="476"/>
      <c r="E258" s="476"/>
    </row>
    <row r="259" spans="1:5" ht="15.6" x14ac:dyDescent="0.25">
      <c r="A259" s="518"/>
      <c r="B259" s="518"/>
      <c r="C259" s="518"/>
      <c r="D259" s="518"/>
      <c r="E259" s="518"/>
    </row>
    <row r="260" spans="1:5" ht="15.6" x14ac:dyDescent="0.25">
      <c r="A260" s="519">
        <f>850000</f>
        <v>850000</v>
      </c>
      <c r="B260" s="486">
        <f>+A260*1.18</f>
        <v>1003000</v>
      </c>
      <c r="C260" s="486">
        <v>30478</v>
      </c>
      <c r="D260" s="486"/>
      <c r="E260" s="486"/>
    </row>
    <row r="261" spans="1:5" ht="15.6" x14ac:dyDescent="0.25">
      <c r="A261" s="482">
        <v>28000</v>
      </c>
      <c r="B261" s="482">
        <f>+A261*1.18</f>
        <v>33040</v>
      </c>
      <c r="C261" s="482">
        <f>+B261/1.85</f>
        <v>17859.45945945946</v>
      </c>
      <c r="D261" s="482"/>
      <c r="E261" s="498"/>
    </row>
    <row r="262" spans="1:5" ht="15.6" x14ac:dyDescent="0.25">
      <c r="A262" s="482">
        <v>28001</v>
      </c>
      <c r="B262" s="482">
        <f>+A262*1.18</f>
        <v>33041.18</v>
      </c>
      <c r="C262" s="482">
        <f>+B262/1.85</f>
        <v>17860.097297297296</v>
      </c>
      <c r="D262" s="482"/>
      <c r="E262" s="498"/>
    </row>
    <row r="263" spans="1:5" ht="15.6" x14ac:dyDescent="0.25">
      <c r="A263" s="500">
        <f>117500+110000</f>
        <v>227500</v>
      </c>
      <c r="B263" s="498">
        <f>+A263/C1</f>
        <v>131093.69597787253</v>
      </c>
      <c r="C263" s="498">
        <f>+A263*1.18</f>
        <v>268450</v>
      </c>
      <c r="D263" s="498"/>
      <c r="E263" s="498"/>
    </row>
    <row r="264" spans="1:5" ht="15.6" x14ac:dyDescent="0.25">
      <c r="A264" s="520">
        <f>70000*1.18</f>
        <v>82600</v>
      </c>
      <c r="B264" s="446">
        <f>+A264/C1</f>
        <v>47597.095770427564</v>
      </c>
      <c r="C264" s="446"/>
      <c r="D264" s="446"/>
      <c r="E264" s="446"/>
    </row>
    <row r="265" spans="1:5" ht="15.6" x14ac:dyDescent="0.25">
      <c r="A265" s="520"/>
      <c r="B265" s="446"/>
      <c r="C265" s="446"/>
      <c r="D265" s="446"/>
      <c r="E265" s="446"/>
    </row>
    <row r="266" spans="1:5" ht="15.6" x14ac:dyDescent="0.25">
      <c r="A266" s="521"/>
      <c r="B266" s="484"/>
      <c r="C266" s="484"/>
      <c r="D266" s="484"/>
      <c r="E266" s="484"/>
    </row>
    <row r="267" spans="1:5" ht="15.6" x14ac:dyDescent="0.25">
      <c r="A267" s="500">
        <v>750000</v>
      </c>
      <c r="B267" s="498">
        <f>+A267*2.35</f>
        <v>1762500</v>
      </c>
      <c r="C267" s="498">
        <v>12360140</v>
      </c>
      <c r="D267" s="498"/>
      <c r="E267" s="498"/>
    </row>
    <row r="268" spans="1:5" ht="15.6" x14ac:dyDescent="0.25">
      <c r="A268" s="522"/>
      <c r="B268" s="487"/>
      <c r="C268" s="488">
        <f>+C267-'Procurement Tables ($)'!I271</f>
        <v>7478428.3452176247</v>
      </c>
      <c r="D268" s="523">
        <f>+'Procurement Tables ($)'!J271-3400000</f>
        <v>-49999.794117819518</v>
      </c>
      <c r="E268" s="488"/>
    </row>
    <row r="269" spans="1:5" ht="15.6" x14ac:dyDescent="0.25">
      <c r="A269" s="487"/>
      <c r="B269" s="487"/>
      <c r="C269" s="487"/>
      <c r="D269" s="487"/>
      <c r="E269" s="487"/>
    </row>
    <row r="270" spans="1:5" ht="15.6" x14ac:dyDescent="0.25">
      <c r="A270" s="476"/>
      <c r="B270" s="476"/>
      <c r="C270" s="476"/>
      <c r="D270" s="476"/>
      <c r="E270" s="476"/>
    </row>
    <row r="271" spans="1:5" ht="15.6" x14ac:dyDescent="0.25">
      <c r="A271" s="482"/>
      <c r="B271" s="482"/>
      <c r="C271" s="482"/>
      <c r="D271" s="482">
        <v>95530.45</v>
      </c>
      <c r="E271" s="482"/>
    </row>
    <row r="272" spans="1:5" ht="15.6" x14ac:dyDescent="0.25">
      <c r="A272" s="482"/>
      <c r="B272" s="482"/>
      <c r="C272" s="482"/>
      <c r="D272" s="482"/>
      <c r="E272" s="482"/>
    </row>
    <row r="273" spans="1:5" ht="15.6" x14ac:dyDescent="0.25">
      <c r="A273" s="524"/>
      <c r="B273" s="525"/>
      <c r="C273" s="525"/>
      <c r="D273" s="525"/>
      <c r="E273" s="525"/>
    </row>
    <row r="274" spans="1:5" ht="15.6" x14ac:dyDescent="0.25">
      <c r="A274" s="526"/>
      <c r="B274" s="527"/>
      <c r="C274" s="527"/>
      <c r="D274" s="527"/>
      <c r="E274" s="527"/>
    </row>
    <row r="275" spans="1:5" ht="15.6" x14ac:dyDescent="0.25">
      <c r="A275" s="482"/>
      <c r="B275" s="482">
        <f>+C275*1.18</f>
        <v>43660</v>
      </c>
      <c r="C275" s="482">
        <v>37000</v>
      </c>
      <c r="D275" s="482">
        <v>14881.07</v>
      </c>
      <c r="E275" s="482"/>
    </row>
    <row r="276" spans="1:5" ht="15.6" x14ac:dyDescent="0.25">
      <c r="A276" s="487"/>
      <c r="B276" s="487"/>
      <c r="C276" s="487"/>
      <c r="D276" s="487"/>
      <c r="E276" s="487"/>
    </row>
    <row r="277" spans="1:5" ht="15.6" x14ac:dyDescent="0.25">
      <c r="A277" s="487"/>
      <c r="B277" s="487"/>
      <c r="C277" s="487"/>
      <c r="D277" s="487"/>
      <c r="E277" s="487"/>
    </row>
    <row r="278" spans="1:5" ht="15.6" x14ac:dyDescent="0.25">
      <c r="A278" s="487"/>
      <c r="B278" s="487"/>
      <c r="C278" s="487">
        <f>+B275/1.5</f>
        <v>29106.666666666668</v>
      </c>
      <c r="D278" s="487"/>
      <c r="E278" s="487"/>
    </row>
    <row r="279" spans="1:5" ht="15.6" x14ac:dyDescent="0.25">
      <c r="A279" s="500"/>
      <c r="B279" s="498"/>
      <c r="C279" s="498"/>
      <c r="D279" s="498"/>
      <c r="E279" s="498"/>
    </row>
    <row r="280" spans="1:5" ht="15.6" x14ac:dyDescent="0.25">
      <c r="A280" s="528"/>
      <c r="B280" s="528"/>
      <c r="C280" s="528"/>
      <c r="D280" s="528"/>
      <c r="E280" s="528"/>
    </row>
    <row r="281" spans="1:5" ht="15.6" x14ac:dyDescent="0.25">
      <c r="A281" s="528"/>
      <c r="B281" s="528"/>
      <c r="C281" s="528"/>
      <c r="D281" s="528"/>
      <c r="E281" s="528"/>
    </row>
    <row r="282" spans="1:5" ht="15.6" x14ac:dyDescent="0.25">
      <c r="A282" s="528"/>
      <c r="B282" s="528"/>
      <c r="C282" s="528"/>
      <c r="D282" s="528"/>
      <c r="E282" s="528"/>
    </row>
    <row r="283" spans="1:5" ht="15.6" x14ac:dyDescent="0.25">
      <c r="A283" s="306"/>
      <c r="B283" s="491">
        <f>+C283-'Procurement Tables ($)'!H285</f>
        <v>-1431255.7579843262</v>
      </c>
      <c r="C283" s="306">
        <v>1162300</v>
      </c>
      <c r="D283" s="306"/>
      <c r="E283" s="306"/>
    </row>
    <row r="284" spans="1:5" ht="15.6" x14ac:dyDescent="0.25">
      <c r="A284" s="476"/>
      <c r="B284" s="476"/>
      <c r="C284" s="476"/>
      <c r="D284" s="476"/>
      <c r="E284" s="476"/>
    </row>
    <row r="285" spans="1:5" ht="15.6" x14ac:dyDescent="0.25">
      <c r="A285" s="487"/>
      <c r="B285" s="487"/>
      <c r="C285" s="487"/>
      <c r="D285" s="487"/>
      <c r="E285" s="487"/>
    </row>
    <row r="286" spans="1:5" ht="15.6" x14ac:dyDescent="0.25">
      <c r="A286" s="306"/>
      <c r="B286" s="306"/>
      <c r="C286" s="306"/>
      <c r="D286" s="306"/>
      <c r="E286" s="306"/>
    </row>
    <row r="287" spans="1:5" ht="15.6" x14ac:dyDescent="0.25">
      <c r="A287" s="306"/>
      <c r="B287" s="306"/>
      <c r="C287" s="306"/>
      <c r="D287" s="306"/>
      <c r="E287" s="306"/>
    </row>
    <row r="288" spans="1:5" ht="15.6" x14ac:dyDescent="0.25">
      <c r="A288" s="306"/>
      <c r="B288" s="306"/>
      <c r="C288" s="491"/>
      <c r="D288" s="529"/>
      <c r="E288" s="491"/>
    </row>
    <row r="289" spans="1:5" ht="15.6" x14ac:dyDescent="0.25">
      <c r="A289" s="306"/>
      <c r="B289" s="306"/>
      <c r="C289" s="491"/>
      <c r="D289" s="529"/>
      <c r="E289" s="491"/>
    </row>
  </sheetData>
  <customSheetViews>
    <customSheetView guid="{3AB13850-701C-4820-AD57-684822783DA8}" showPageBreaks="1">
      <selection activeCell="F19" sqref="F19:G19"/>
      <pageMargins left="0.7" right="0.7" top="0.75" bottom="0.75" header="0.3" footer="0.3"/>
      <pageSetup paperSize="9" orientation="portrait" r:id="rId1"/>
    </customSheetView>
    <customSheetView guid="{AE843321-E62A-4FB5-89CA-294B4C65B762}">
      <selection activeCell="F19" sqref="F19:G19"/>
      <pageMargins left="0.7" right="0.7" top="0.75" bottom="0.75" header="0.3" footer="0.3"/>
      <pageSetup paperSize="9" orientation="portrait" verticalDpi="0" r:id="rId2"/>
    </customSheetView>
    <customSheetView guid="{F1899CAA-DD89-4E8A-BDC1-328EE12130F5}">
      <selection activeCell="F19" sqref="F19:G19"/>
      <pageMargins left="0.7" right="0.7" top="0.75" bottom="0.75" header="0.3" footer="0.3"/>
      <pageSetup paperSize="9" orientation="portrait" verticalDpi="0" r:id="rId3"/>
    </customSheetView>
  </customSheetView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Procurement Plan Cover</vt:lpstr>
      <vt:lpstr>Procurement Tables ($)</vt:lpstr>
      <vt:lpstr>-</vt:lpstr>
      <vt:lpstr>Sayfa1</vt:lpstr>
      <vt:lpstr>'Procurement Plan Cover'!Print_Area</vt:lpstr>
      <vt:lpstr>'Procurement Tables ($)'!Print_Area</vt:lpstr>
      <vt:lpstr>'Procurement Tables ($)'!Print_Titles</vt:lpstr>
    </vt:vector>
  </TitlesOfParts>
  <Company>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Hulya Bayramoglu</dc:creator>
  <cp:lastModifiedBy>Hulya Bayramoglu</cp:lastModifiedBy>
  <cp:lastPrinted>2013-03-13T13:40:22Z</cp:lastPrinted>
  <dcterms:created xsi:type="dcterms:W3CDTF">2004-11-08T16:12:53Z</dcterms:created>
  <dcterms:modified xsi:type="dcterms:W3CDTF">2013-03-18T16:07:32Z</dcterms:modified>
</cp:coreProperties>
</file>