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2" windowWidth="15480" windowHeight="8148" activeTab="1"/>
  </bookViews>
  <sheets>
    <sheet name="Rural goods" sheetId="1" r:id="rId1"/>
    <sheet name="Rural Works " sheetId="2" r:id="rId2"/>
    <sheet name="Rural Consultancy" sheetId="3" r:id="rId3"/>
    <sheet name="GoodsLT" sheetId="4" r:id="rId4"/>
    <sheet name="WorksLT" sheetId="12" r:id="rId5"/>
    <sheet name="ConsultancyLT" sheetId="6" r:id="rId6"/>
    <sheet name="GoodsST" sheetId="7" r:id="rId7"/>
    <sheet name="WorkST" sheetId="8" r:id="rId8"/>
    <sheet name="ConsultantST" sheetId="9" r:id="rId9"/>
  </sheets>
  <definedNames>
    <definedName name="_xlnm.Print_Area" localSheetId="5">ConsultancyLT!$A$1:$AG$24</definedName>
    <definedName name="_xlnm.Print_Area" localSheetId="3">GoodsLT!$A$1:$V$51</definedName>
    <definedName name="_xlnm.Print_Area" localSheetId="6">GoodsST!$A$1:$V$37</definedName>
    <definedName name="_xlnm.Print_Area" localSheetId="1">'Rural Works '!$A$1:$X$523</definedName>
    <definedName name="_xlnm.Print_Area" localSheetId="7">WorkST!$A$1:$X$104</definedName>
    <definedName name="_xlnm.Print_Titles" localSheetId="1">'Rural Works '!$5:$6</definedName>
    <definedName name="_xlnm.Print_Titles" localSheetId="7">WorkST!$1:$8</definedName>
  </definedNames>
  <calcPr calcId="145621"/>
</workbook>
</file>

<file path=xl/calcChain.xml><?xml version="1.0" encoding="utf-8"?>
<calcChain xmlns="http://schemas.openxmlformats.org/spreadsheetml/2006/main">
  <c r="R102" i="8" l="1"/>
  <c r="N107" i="8"/>
  <c r="N108" i="8"/>
  <c r="N109" i="8"/>
  <c r="N106" i="8"/>
  <c r="R16" i="8"/>
  <c r="Q37" i="7"/>
  <c r="X51" i="3"/>
  <c r="K30" i="6"/>
  <c r="L30" i="6" s="1"/>
  <c r="O30" i="6" s="1"/>
  <c r="P30" i="6" s="1"/>
  <c r="Q30" i="6" s="1"/>
  <c r="S30" i="6" s="1"/>
  <c r="T30" i="6" s="1"/>
  <c r="AA30" i="6" s="1"/>
  <c r="AF30" i="6" s="1"/>
  <c r="I29" i="6"/>
  <c r="J29" i="6" s="1"/>
  <c r="K29" i="6" s="1"/>
  <c r="L29" i="6" s="1"/>
  <c r="M29" i="6" s="1"/>
  <c r="O29" i="6" s="1"/>
  <c r="P29" i="6" s="1"/>
  <c r="Q29" i="6" s="1"/>
  <c r="R29" i="6" s="1"/>
  <c r="S29" i="6" s="1"/>
  <c r="T29" i="6" s="1"/>
  <c r="AA29" i="6" s="1"/>
  <c r="AF29" i="6" s="1"/>
  <c r="I26" i="6"/>
  <c r="J26" i="6" s="1"/>
  <c r="K26" i="6" s="1"/>
  <c r="L26" i="6" s="1"/>
  <c r="M26" i="6" s="1"/>
  <c r="O26" i="6" s="1"/>
  <c r="P26" i="6" s="1"/>
  <c r="Q26" i="6" s="1"/>
  <c r="R26" i="6" s="1"/>
  <c r="S26" i="6" s="1"/>
  <c r="T26" i="6" s="1"/>
  <c r="U63" i="4"/>
  <c r="T63" i="4" s="1"/>
  <c r="S63" i="4" s="1"/>
  <c r="R63" i="4" s="1"/>
  <c r="O63" i="4" s="1"/>
  <c r="N63" i="4" s="1"/>
  <c r="M63" i="4" s="1"/>
  <c r="L63" i="4" s="1"/>
  <c r="K63" i="4" s="1"/>
  <c r="J63" i="4" s="1"/>
  <c r="I63" i="4" s="1"/>
  <c r="J62" i="4"/>
  <c r="K62" i="4" s="1"/>
  <c r="L62" i="4" s="1"/>
  <c r="M62" i="4" s="1"/>
  <c r="N62" i="4" s="1"/>
  <c r="O62" i="4" s="1"/>
  <c r="R62" i="4" s="1"/>
  <c r="S62" i="4" s="1"/>
  <c r="T62" i="4" s="1"/>
  <c r="U62" i="4" s="1"/>
  <c r="V62" i="4" s="1"/>
  <c r="N59" i="4"/>
  <c r="O59" i="4" s="1"/>
  <c r="R59" i="4" s="1"/>
  <c r="S59" i="4" s="1"/>
  <c r="T59" i="4" s="1"/>
  <c r="U59" i="4" s="1"/>
  <c r="V59" i="4" s="1"/>
  <c r="J58" i="4"/>
  <c r="K58" i="4" s="1"/>
  <c r="L58" i="4" s="1"/>
  <c r="M58" i="4" s="1"/>
  <c r="N58" i="4" s="1"/>
  <c r="O58" i="4" s="1"/>
  <c r="R58" i="4" s="1"/>
  <c r="S58" i="4" s="1"/>
  <c r="T58" i="4" s="1"/>
  <c r="U58" i="4" s="1"/>
  <c r="V58" i="4" s="1"/>
  <c r="L55" i="4"/>
  <c r="N55" i="4" s="1"/>
  <c r="R55" i="4" s="1"/>
  <c r="S55" i="4" s="1"/>
  <c r="U55" i="4" s="1"/>
  <c r="V55" i="4" s="1"/>
  <c r="U52" i="4"/>
  <c r="V52" i="4" s="1"/>
  <c r="V73" i="12"/>
  <c r="W73" i="12" s="1"/>
  <c r="K72" i="12"/>
  <c r="L72" i="12" s="1"/>
  <c r="M72" i="12" s="1"/>
  <c r="N72" i="12" s="1"/>
  <c r="O72" i="12" s="1"/>
  <c r="P72" i="12" s="1"/>
  <c r="S72" i="12" s="1"/>
  <c r="T72" i="12" s="1"/>
  <c r="U72" i="12" s="1"/>
  <c r="V72" i="12" s="1"/>
  <c r="W72" i="12" s="1"/>
  <c r="S70" i="12"/>
  <c r="U69" i="12"/>
  <c r="V69" i="12" s="1"/>
  <c r="W69" i="12" s="1"/>
  <c r="L68" i="12"/>
  <c r="M68" i="12" s="1"/>
  <c r="N68" i="12" s="1"/>
  <c r="O68" i="12" s="1"/>
  <c r="P68" i="12" s="1"/>
  <c r="S68" i="12" s="1"/>
  <c r="T68" i="12" s="1"/>
  <c r="U68" i="12" s="1"/>
  <c r="V68" i="12" s="1"/>
  <c r="W68" i="12" s="1"/>
  <c r="J68" i="12"/>
  <c r="U65" i="12" l="1"/>
  <c r="V64" i="12" s="1"/>
  <c r="W64" i="12" s="1"/>
  <c r="R65" i="12"/>
  <c r="N63" i="12"/>
  <c r="O63" i="12" s="1"/>
  <c r="P63" i="12" s="1"/>
  <c r="S63" i="12" s="1"/>
  <c r="T63" i="12" s="1"/>
  <c r="U63" i="12" s="1"/>
  <c r="V63" i="12" s="1"/>
  <c r="W63" i="12" s="1"/>
  <c r="F63" i="12"/>
  <c r="K62" i="12"/>
  <c r="L62" i="12" s="1"/>
  <c r="M62" i="12" s="1"/>
  <c r="N62" i="12" s="1"/>
  <c r="O62" i="12" s="1"/>
  <c r="P62" i="12" s="1"/>
  <c r="S62" i="12" s="1"/>
  <c r="T62" i="12" s="1"/>
  <c r="U62" i="12" s="1"/>
  <c r="V62" i="12" s="1"/>
  <c r="W62" i="12" s="1"/>
  <c r="L59" i="12"/>
  <c r="M59" i="12" s="1"/>
  <c r="N59" i="12" s="1"/>
  <c r="O59" i="12" s="1"/>
  <c r="S59" i="12" s="1"/>
  <c r="T59" i="12" s="1"/>
  <c r="U59" i="12" s="1"/>
  <c r="V59" i="12" s="1"/>
  <c r="W59" i="12" s="1"/>
  <c r="N58" i="12"/>
  <c r="O58" i="12" s="1"/>
  <c r="P58" i="12" s="1"/>
  <c r="S58" i="12" s="1"/>
  <c r="T58" i="12" s="1"/>
  <c r="U58" i="12" s="1"/>
  <c r="V58" i="12" s="1"/>
  <c r="W58" i="12" s="1"/>
  <c r="F58" i="12"/>
  <c r="K57" i="12"/>
  <c r="L57" i="12" s="1"/>
  <c r="M57" i="12" s="1"/>
  <c r="N57" i="12" s="1"/>
  <c r="O57" i="12" s="1"/>
  <c r="P57" i="12" s="1"/>
  <c r="S57" i="12" s="1"/>
  <c r="T57" i="12" s="1"/>
  <c r="U57" i="12" s="1"/>
  <c r="V57" i="12" s="1"/>
  <c r="W57" i="12" s="1"/>
  <c r="U55" i="12"/>
  <c r="R55" i="12"/>
  <c r="N53" i="12"/>
  <c r="O53" i="12" s="1"/>
  <c r="P53" i="12" s="1"/>
  <c r="S53" i="12" s="1"/>
  <c r="T53" i="12" s="1"/>
  <c r="U53" i="12" s="1"/>
  <c r="V53" i="12" s="1"/>
  <c r="W53" i="12" s="1"/>
  <c r="F53" i="12"/>
  <c r="K52" i="12"/>
  <c r="L52" i="12" s="1"/>
  <c r="M52" i="12" s="1"/>
  <c r="N52" i="12" s="1"/>
  <c r="O52" i="12" s="1"/>
  <c r="P52" i="12" s="1"/>
  <c r="S52" i="12" s="1"/>
  <c r="T52" i="12" s="1"/>
  <c r="U52" i="12" s="1"/>
  <c r="V52" i="12" s="1"/>
  <c r="W52" i="12" s="1"/>
  <c r="R50" i="12"/>
  <c r="T49" i="12"/>
  <c r="U49" i="12" s="1"/>
  <c r="V49" i="12" s="1"/>
  <c r="W49" i="12" s="1"/>
  <c r="F49" i="12"/>
  <c r="K48" i="12"/>
  <c r="L48" i="12" s="1"/>
  <c r="M48" i="12" s="1"/>
  <c r="N48" i="12" s="1"/>
  <c r="O48" i="12" s="1"/>
  <c r="P48" i="12" s="1"/>
  <c r="S48" i="12" s="1"/>
  <c r="T48" i="12" s="1"/>
  <c r="U48" i="12" s="1"/>
  <c r="V48" i="12" s="1"/>
  <c r="W48" i="12" s="1"/>
  <c r="R46" i="12"/>
  <c r="V45" i="12"/>
  <c r="W45" i="12" s="1"/>
  <c r="F45" i="12"/>
  <c r="K44" i="12"/>
  <c r="L44" i="12" s="1"/>
  <c r="M44" i="12" s="1"/>
  <c r="N44" i="12" s="1"/>
  <c r="O44" i="12" s="1"/>
  <c r="P44" i="12" s="1"/>
  <c r="S44" i="12" s="1"/>
  <c r="T44" i="12" s="1"/>
  <c r="U44" i="12" s="1"/>
  <c r="V44" i="12" s="1"/>
  <c r="W44" i="12" s="1"/>
  <c r="R42" i="12"/>
  <c r="T41" i="12"/>
  <c r="U41" i="12" s="1"/>
  <c r="V41" i="12" s="1"/>
  <c r="W41" i="12" s="1"/>
  <c r="F41" i="12"/>
  <c r="K40" i="12"/>
  <c r="L40" i="12" s="1"/>
  <c r="M40" i="12" s="1"/>
  <c r="N40" i="12" s="1"/>
  <c r="O40" i="12" s="1"/>
  <c r="P40" i="12" s="1"/>
  <c r="S40" i="12" s="1"/>
  <c r="T40" i="12" s="1"/>
  <c r="U40" i="12" s="1"/>
  <c r="V40" i="12" s="1"/>
  <c r="W40" i="12" s="1"/>
  <c r="T37" i="12"/>
  <c r="U37" i="12" s="1"/>
  <c r="V37" i="12" s="1"/>
  <c r="W37" i="12" s="1"/>
  <c r="U36" i="12"/>
  <c r="V36" i="12" s="1"/>
  <c r="W36" i="12" s="1"/>
  <c r="U34" i="12"/>
  <c r="R34" i="12"/>
  <c r="W33" i="12"/>
  <c r="U32" i="12"/>
  <c r="V32" i="12" s="1"/>
  <c r="W32" i="12" s="1"/>
  <c r="K31" i="12"/>
  <c r="L31" i="12" s="1"/>
  <c r="M31" i="12" s="1"/>
  <c r="N31" i="12" s="1"/>
  <c r="O31" i="12" s="1"/>
  <c r="P31" i="12" s="1"/>
  <c r="S31" i="12" s="1"/>
  <c r="T31" i="12" s="1"/>
  <c r="U31" i="12" s="1"/>
  <c r="V31" i="12" s="1"/>
  <c r="W31" i="12" s="1"/>
  <c r="U29" i="12"/>
  <c r="R29" i="12"/>
  <c r="W28" i="12"/>
  <c r="U27" i="12"/>
  <c r="V27" i="12" s="1"/>
  <c r="W27" i="12" s="1"/>
  <c r="K26" i="12"/>
  <c r="L26" i="12" s="1"/>
  <c r="M26" i="12" s="1"/>
  <c r="N26" i="12" s="1"/>
  <c r="O26" i="12" s="1"/>
  <c r="P26" i="12" s="1"/>
  <c r="S26" i="12" s="1"/>
  <c r="T26" i="12" s="1"/>
  <c r="U26" i="12" s="1"/>
  <c r="V26" i="12" s="1"/>
  <c r="W26" i="12" s="1"/>
  <c r="V24" i="12"/>
  <c r="W24" i="12" s="1"/>
  <c r="U24" i="12"/>
  <c r="R24" i="12"/>
  <c r="K23" i="12"/>
  <c r="L23" i="12" s="1"/>
  <c r="M23" i="12" s="1"/>
  <c r="N23" i="12" s="1"/>
  <c r="O23" i="12" s="1"/>
  <c r="P23" i="12" s="1"/>
  <c r="S23" i="12" s="1"/>
  <c r="T23" i="12" s="1"/>
  <c r="U23" i="12" s="1"/>
  <c r="V23" i="12" s="1"/>
  <c r="W23" i="12" s="1"/>
  <c r="F23" i="12"/>
  <c r="V20" i="12"/>
  <c r="W20" i="12" s="1"/>
  <c r="K19" i="12"/>
  <c r="L19" i="12" s="1"/>
  <c r="M19" i="12" s="1"/>
  <c r="N19" i="12" s="1"/>
  <c r="O19" i="12" s="1"/>
  <c r="P19" i="12" s="1"/>
  <c r="S19" i="12" s="1"/>
  <c r="T19" i="12" s="1"/>
  <c r="U19" i="12" s="1"/>
  <c r="V19" i="12" s="1"/>
  <c r="W19" i="12" s="1"/>
  <c r="F19" i="12"/>
  <c r="V17" i="12"/>
  <c r="U17" i="12"/>
  <c r="R17" i="12"/>
  <c r="P17" i="12"/>
  <c r="K16" i="12"/>
  <c r="L16" i="12" s="1"/>
  <c r="M16" i="12" s="1"/>
  <c r="F16" i="12"/>
  <c r="W14" i="12"/>
  <c r="V14" i="12"/>
  <c r="U14" i="12"/>
  <c r="R14" i="12"/>
  <c r="P14" i="12"/>
  <c r="K13" i="12"/>
  <c r="L13" i="12" s="1"/>
  <c r="M13" i="12" s="1"/>
  <c r="F13" i="12"/>
  <c r="W11" i="12"/>
  <c r="U11" i="12"/>
  <c r="V11" i="12" s="1"/>
  <c r="R11" i="12"/>
  <c r="R76" i="12" s="1"/>
  <c r="P11" i="12"/>
  <c r="K10" i="12"/>
  <c r="L10" i="12" s="1"/>
  <c r="M10" i="12" s="1"/>
  <c r="F10" i="12"/>
  <c r="I11" i="9"/>
  <c r="AB36" i="3"/>
  <c r="AB33" i="3"/>
  <c r="AB30" i="3"/>
  <c r="AB27" i="3"/>
  <c r="AB24" i="3"/>
  <c r="AB21" i="3"/>
  <c r="AB18" i="3"/>
  <c r="V271" i="2"/>
  <c r="T244" i="2"/>
  <c r="V315" i="2"/>
  <c r="V275" i="2"/>
  <c r="P263" i="2"/>
  <c r="P259" i="2"/>
  <c r="P257" i="2"/>
  <c r="P255" i="2"/>
  <c r="V255" i="2"/>
  <c r="O435" i="2"/>
  <c r="P435" i="2" s="1"/>
  <c r="S435" i="2" s="1"/>
  <c r="T435" i="2" s="1"/>
  <c r="V435" i="2" s="1"/>
  <c r="W435" i="2" s="1"/>
  <c r="R31" i="1"/>
  <c r="F76" i="12" l="1"/>
  <c r="N10" i="12"/>
  <c r="O10" i="12" s="1"/>
  <c r="P10" i="12" s="1"/>
  <c r="S10" i="12" s="1"/>
  <c r="T10" i="12" s="1"/>
  <c r="L11" i="12"/>
  <c r="K11" i="12" s="1"/>
  <c r="J11" i="12" s="1"/>
  <c r="N16" i="12"/>
  <c r="O16" i="12" s="1"/>
  <c r="P16" i="12" s="1"/>
  <c r="S16" i="12" s="1"/>
  <c r="T16" i="12" s="1"/>
  <c r="U16" i="12" s="1"/>
  <c r="V16" i="12" s="1"/>
  <c r="W16" i="12" s="1"/>
  <c r="L17" i="12"/>
  <c r="K17" i="12" s="1"/>
  <c r="J17" i="12" s="1"/>
  <c r="L14" i="12"/>
  <c r="K14" i="12" s="1"/>
  <c r="J14" i="12" s="1"/>
  <c r="N13" i="12"/>
  <c r="O13" i="12" s="1"/>
  <c r="P13" i="12" s="1"/>
  <c r="S13" i="12" s="1"/>
  <c r="T13" i="12" s="1"/>
  <c r="U13" i="12" s="1"/>
  <c r="V13" i="12" s="1"/>
  <c r="W13" i="12" s="1"/>
  <c r="AB7" i="6"/>
  <c r="AD8" i="6"/>
  <c r="AA8" i="6"/>
  <c r="Z8" i="6"/>
  <c r="H47" i="3"/>
  <c r="I47" i="3" s="1"/>
  <c r="J47" i="3" s="1"/>
  <c r="L47" i="3" s="1"/>
  <c r="N47" i="3" s="1"/>
  <c r="O47" i="3" s="1"/>
  <c r="P47" i="3" s="1"/>
  <c r="Q47" i="3" s="1"/>
  <c r="R47" i="3" s="1"/>
  <c r="S47" i="3" s="1"/>
  <c r="T47" i="3" s="1"/>
  <c r="V47" i="3" s="1"/>
  <c r="W47" i="3" s="1"/>
  <c r="Y47" i="3" s="1"/>
  <c r="Z47" i="3" s="1"/>
  <c r="AD47" i="3" s="1"/>
  <c r="AB47" i="3" s="1"/>
  <c r="H44" i="3"/>
  <c r="I44" i="3" s="1"/>
  <c r="J44" i="3" s="1"/>
  <c r="L44" i="3" s="1"/>
  <c r="N44" i="3" s="1"/>
  <c r="O44" i="3" s="1"/>
  <c r="P44" i="3" s="1"/>
  <c r="Q44" i="3" s="1"/>
  <c r="R44" i="3" s="1"/>
  <c r="S44" i="3" s="1"/>
  <c r="T44" i="3" s="1"/>
  <c r="V44" i="3" s="1"/>
  <c r="W44" i="3" s="1"/>
  <c r="Y44" i="3" s="1"/>
  <c r="Z44" i="3" s="1"/>
  <c r="AD44" i="3" s="1"/>
  <c r="H40" i="3"/>
  <c r="I40" i="3" s="1"/>
  <c r="J40" i="3" s="1"/>
  <c r="L40" i="3" s="1"/>
  <c r="N40" i="3" s="1"/>
  <c r="O40" i="3" s="1"/>
  <c r="P40" i="3" s="1"/>
  <c r="Q40" i="3" s="1"/>
  <c r="R40" i="3" s="1"/>
  <c r="S40" i="3" s="1"/>
  <c r="T40" i="3" s="1"/>
  <c r="V40" i="3" s="1"/>
  <c r="W40" i="3" s="1"/>
  <c r="Y40" i="3" s="1"/>
  <c r="Z40" i="3" s="1"/>
  <c r="AD40" i="3" s="1"/>
  <c r="AB40" i="3" s="1"/>
  <c r="D47" i="3"/>
  <c r="D44" i="3"/>
  <c r="Y37" i="3"/>
  <c r="Y34" i="3"/>
  <c r="Y31" i="3"/>
  <c r="Y28" i="3"/>
  <c r="Y25" i="3"/>
  <c r="Y22" i="3"/>
  <c r="Q37" i="3"/>
  <c r="R37" i="3" s="1"/>
  <c r="S37" i="3" s="1"/>
  <c r="T37" i="3" s="1"/>
  <c r="V37" i="3" s="1"/>
  <c r="W37" i="3" s="1"/>
  <c r="Q34" i="3"/>
  <c r="R34" i="3" s="1"/>
  <c r="S34" i="3" s="1"/>
  <c r="T34" i="3" s="1"/>
  <c r="V34" i="3" s="1"/>
  <c r="W34" i="3" s="1"/>
  <c r="Q31" i="3"/>
  <c r="R31" i="3" s="1"/>
  <c r="S31" i="3" s="1"/>
  <c r="T31" i="3" s="1"/>
  <c r="V31" i="3" s="1"/>
  <c r="W31" i="3" s="1"/>
  <c r="Q28" i="3"/>
  <c r="R28" i="3" s="1"/>
  <c r="S28" i="3" s="1"/>
  <c r="T28" i="3" s="1"/>
  <c r="V28" i="3" s="1"/>
  <c r="W28" i="3" s="1"/>
  <c r="Q25" i="3"/>
  <c r="R25" i="3" s="1"/>
  <c r="S25" i="3" s="1"/>
  <c r="T25" i="3" s="1"/>
  <c r="V25" i="3" s="1"/>
  <c r="W25" i="3" s="1"/>
  <c r="Q22" i="3"/>
  <c r="R22" i="3" s="1"/>
  <c r="S22" i="3" s="1"/>
  <c r="T22" i="3" s="1"/>
  <c r="V22" i="3" s="1"/>
  <c r="W22" i="3" s="1"/>
  <c r="Q19" i="3"/>
  <c r="R19" i="3" s="1"/>
  <c r="S19" i="3" s="1"/>
  <c r="T19" i="3" s="1"/>
  <c r="V19" i="3" s="1"/>
  <c r="W19" i="3" s="1"/>
  <c r="Y19" i="3"/>
  <c r="Q36" i="3"/>
  <c r="R36" i="3" s="1"/>
  <c r="S36" i="3" s="1"/>
  <c r="T36" i="3" s="1"/>
  <c r="V36" i="3" s="1"/>
  <c r="W36" i="3" s="1"/>
  <c r="Q33" i="3"/>
  <c r="R33" i="3" s="1"/>
  <c r="S33" i="3" s="1"/>
  <c r="T33" i="3" s="1"/>
  <c r="V33" i="3" s="1"/>
  <c r="W33" i="3" s="1"/>
  <c r="Q30" i="3"/>
  <c r="R30" i="3" s="1"/>
  <c r="S30" i="3" s="1"/>
  <c r="T30" i="3" s="1"/>
  <c r="V30" i="3" s="1"/>
  <c r="W30" i="3" s="1"/>
  <c r="Q27" i="3"/>
  <c r="R27" i="3" s="1"/>
  <c r="S27" i="3" s="1"/>
  <c r="T27" i="3" s="1"/>
  <c r="V27" i="3" s="1"/>
  <c r="W27" i="3" s="1"/>
  <c r="Q24" i="3"/>
  <c r="R24" i="3" s="1"/>
  <c r="S24" i="3" s="1"/>
  <c r="T24" i="3" s="1"/>
  <c r="V24" i="3" s="1"/>
  <c r="W24" i="3" s="1"/>
  <c r="Q21" i="3"/>
  <c r="R21" i="3" s="1"/>
  <c r="S21" i="3" s="1"/>
  <c r="T21" i="3" s="1"/>
  <c r="V21" i="3" s="1"/>
  <c r="W21" i="3" s="1"/>
  <c r="Q18" i="3"/>
  <c r="R18" i="3" s="1"/>
  <c r="S18" i="3" s="1"/>
  <c r="T18" i="3" s="1"/>
  <c r="V18" i="3" s="1"/>
  <c r="W18" i="3" s="1"/>
  <c r="L37" i="3"/>
  <c r="J37" i="3" s="1"/>
  <c r="H37" i="3" s="1"/>
  <c r="G37" i="3" s="1"/>
  <c r="L34" i="3"/>
  <c r="J34" i="3" s="1"/>
  <c r="H34" i="3" s="1"/>
  <c r="G34" i="3" s="1"/>
  <c r="L31" i="3"/>
  <c r="J31" i="3" s="1"/>
  <c r="H31" i="3" s="1"/>
  <c r="G31" i="3" s="1"/>
  <c r="L28" i="3"/>
  <c r="J28" i="3" s="1"/>
  <c r="H28" i="3" s="1"/>
  <c r="G28" i="3" s="1"/>
  <c r="L25" i="3"/>
  <c r="J25" i="3" s="1"/>
  <c r="H25" i="3" s="1"/>
  <c r="G25" i="3" s="1"/>
  <c r="L22" i="3"/>
  <c r="J22" i="3" s="1"/>
  <c r="H22" i="3" s="1"/>
  <c r="G22" i="3" s="1"/>
  <c r="L19" i="3"/>
  <c r="J19" i="3" s="1"/>
  <c r="H19" i="3" s="1"/>
  <c r="G19" i="3" s="1"/>
  <c r="L39" i="3"/>
  <c r="J39" i="3" s="1"/>
  <c r="I39" i="3" s="1"/>
  <c r="H39" i="3" s="1"/>
  <c r="G39" i="3" s="1"/>
  <c r="L36" i="3"/>
  <c r="J36" i="3" s="1"/>
  <c r="I36" i="3" s="1"/>
  <c r="H36" i="3" s="1"/>
  <c r="G36" i="3" s="1"/>
  <c r="L33" i="3"/>
  <c r="J33" i="3" s="1"/>
  <c r="I33" i="3" s="1"/>
  <c r="H33" i="3" s="1"/>
  <c r="G33" i="3" s="1"/>
  <c r="L30" i="3"/>
  <c r="J30" i="3" s="1"/>
  <c r="I30" i="3" s="1"/>
  <c r="H30" i="3" s="1"/>
  <c r="G30" i="3" s="1"/>
  <c r="L27" i="3"/>
  <c r="J27" i="3" s="1"/>
  <c r="I27" i="3" s="1"/>
  <c r="H27" i="3" s="1"/>
  <c r="G27" i="3" s="1"/>
  <c r="L24" i="3"/>
  <c r="J24" i="3" s="1"/>
  <c r="I24" i="3" s="1"/>
  <c r="H24" i="3" s="1"/>
  <c r="G24" i="3" s="1"/>
  <c r="L21" i="3"/>
  <c r="J21" i="3" s="1"/>
  <c r="I21" i="3" s="1"/>
  <c r="H21" i="3" s="1"/>
  <c r="G21" i="3" s="1"/>
  <c r="L18" i="3"/>
  <c r="J18" i="3" s="1"/>
  <c r="I18" i="3" s="1"/>
  <c r="H18" i="3" s="1"/>
  <c r="G18" i="3" s="1"/>
  <c r="S429" i="2"/>
  <c r="S441" i="2"/>
  <c r="P331" i="2"/>
  <c r="P327" i="2"/>
  <c r="P323" i="2"/>
  <c r="P319" i="2"/>
  <c r="P315" i="2"/>
  <c r="P311" i="2"/>
  <c r="P307" i="2"/>
  <c r="P303" i="2"/>
  <c r="P299" i="2"/>
  <c r="P295" i="2"/>
  <c r="P291" i="2"/>
  <c r="P287" i="2"/>
  <c r="P283" i="2"/>
  <c r="P279" i="2"/>
  <c r="P275" i="2"/>
  <c r="P271" i="2"/>
  <c r="P267" i="2"/>
  <c r="P251" i="2"/>
  <c r="P247" i="2"/>
  <c r="P243" i="2"/>
  <c r="P239" i="2"/>
  <c r="P235" i="2"/>
  <c r="P230" i="2"/>
  <c r="P225" i="2"/>
  <c r="P220" i="2"/>
  <c r="P215" i="2"/>
  <c r="P210" i="2"/>
  <c r="P206" i="2"/>
  <c r="P202" i="2"/>
  <c r="P198" i="2"/>
  <c r="P194" i="2"/>
  <c r="P190" i="2"/>
  <c r="P186" i="2"/>
  <c r="P182" i="2"/>
  <c r="P178" i="2"/>
  <c r="P174" i="2"/>
  <c r="P171" i="2"/>
  <c r="S174" i="2"/>
  <c r="T176" i="2"/>
  <c r="V175" i="2" s="1"/>
  <c r="W175" i="2" s="1"/>
  <c r="R168" i="2"/>
  <c r="W21" i="1"/>
  <c r="S168" i="2"/>
  <c r="R513" i="2"/>
  <c r="R509" i="2"/>
  <c r="R505" i="2"/>
  <c r="R501" i="2"/>
  <c r="V512" i="2"/>
  <c r="W512" i="2" s="1"/>
  <c r="V508" i="2"/>
  <c r="W508" i="2" s="1"/>
  <c r="V504" i="2"/>
  <c r="W504" i="2" s="1"/>
  <c r="V500" i="2"/>
  <c r="W500" i="2" s="1"/>
  <c r="V496" i="2"/>
  <c r="W496" i="2" s="1"/>
  <c r="R497" i="2"/>
  <c r="V492" i="2"/>
  <c r="W492" i="2" s="1"/>
  <c r="R493" i="2"/>
  <c r="V488" i="2"/>
  <c r="W488" i="2" s="1"/>
  <c r="R489" i="2"/>
  <c r="V484" i="2"/>
  <c r="W484" i="2" s="1"/>
  <c r="R485" i="2"/>
  <c r="V480" i="2"/>
  <c r="W480" i="2" s="1"/>
  <c r="R481" i="2"/>
  <c r="R477" i="2"/>
  <c r="O479" i="2"/>
  <c r="P479" i="2" s="1"/>
  <c r="S479" i="2" s="1"/>
  <c r="T479" i="2" s="1"/>
  <c r="V479" i="2" s="1"/>
  <c r="W479" i="2" s="1"/>
  <c r="V476" i="2"/>
  <c r="W476" i="2" s="1"/>
  <c r="V472" i="2"/>
  <c r="W472" i="2" s="1"/>
  <c r="R473" i="2"/>
  <c r="V468" i="2"/>
  <c r="W468" i="2" s="1"/>
  <c r="R469" i="2"/>
  <c r="V464" i="2"/>
  <c r="W464" i="2" s="1"/>
  <c r="R465" i="2"/>
  <c r="V460" i="2"/>
  <c r="W460" i="2" s="1"/>
  <c r="R461" i="2"/>
  <c r="V456" i="2"/>
  <c r="W456" i="2" s="1"/>
  <c r="R457" i="2"/>
  <c r="R453" i="2"/>
  <c r="V452" i="2"/>
  <c r="V448" i="2"/>
  <c r="W448" i="2" s="1"/>
  <c r="R449" i="2"/>
  <c r="V444" i="2"/>
  <c r="W444" i="2" s="1"/>
  <c r="R445" i="2"/>
  <c r="R441" i="2"/>
  <c r="V440" i="2"/>
  <c r="T436" i="2"/>
  <c r="V436" i="2"/>
  <c r="W436" i="2" s="1"/>
  <c r="V432" i="2"/>
  <c r="W432" i="2" s="1"/>
  <c r="R433" i="2"/>
  <c r="O431" i="2"/>
  <c r="P431" i="2" s="1"/>
  <c r="S431" i="2" s="1"/>
  <c r="T431" i="2" s="1"/>
  <c r="V431" i="2" s="1"/>
  <c r="W431" i="2" s="1"/>
  <c r="V428" i="2"/>
  <c r="W428" i="2" s="1"/>
  <c r="V424" i="2"/>
  <c r="W424" i="2" s="1"/>
  <c r="V420" i="2"/>
  <c r="W420" i="2" s="1"/>
  <c r="V416" i="2"/>
  <c r="W416" i="2" s="1"/>
  <c r="V412" i="2"/>
  <c r="W412" i="2" s="1"/>
  <c r="V408" i="2"/>
  <c r="W408" i="2" s="1"/>
  <c r="V404" i="2"/>
  <c r="W404" i="2" s="1"/>
  <c r="V400" i="2"/>
  <c r="W400" i="2" s="1"/>
  <c r="V392" i="2"/>
  <c r="W392" i="2" s="1"/>
  <c r="V396" i="2"/>
  <c r="W396" i="2" s="1"/>
  <c r="O395" i="2"/>
  <c r="O399" i="2"/>
  <c r="O393" i="2"/>
  <c r="V195" i="2"/>
  <c r="W195" i="2" s="1"/>
  <c r="V190" i="2"/>
  <c r="W190" i="2" s="1"/>
  <c r="T184" i="2"/>
  <c r="V183" i="2" s="1"/>
  <c r="W183" i="2" s="1"/>
  <c r="K90" i="2"/>
  <c r="J90" i="2" s="1"/>
  <c r="P66" i="2"/>
  <c r="K66" i="2"/>
  <c r="J66" i="2" s="1"/>
  <c r="N52" i="2"/>
  <c r="O52" i="2" s="1"/>
  <c r="P52" i="2" s="1"/>
  <c r="S52" i="2" s="1"/>
  <c r="T52" i="2" s="1"/>
  <c r="V52" i="2" s="1"/>
  <c r="W52" i="2" s="1"/>
  <c r="P32" i="2"/>
  <c r="S23" i="2"/>
  <c r="V23" i="2"/>
  <c r="T20" i="2"/>
  <c r="V20" i="2" s="1"/>
  <c r="W20" i="2" s="1"/>
  <c r="T17" i="2"/>
  <c r="V17" i="2" s="1"/>
  <c r="W17" i="2" s="1"/>
  <c r="P34" i="2"/>
  <c r="P22" i="2"/>
  <c r="P19" i="2"/>
  <c r="P16" i="2"/>
  <c r="P10" i="2"/>
  <c r="P13" i="2"/>
  <c r="K34" i="2"/>
  <c r="J34" i="2" s="1"/>
  <c r="K22" i="2"/>
  <c r="J22" i="2" s="1"/>
  <c r="K19" i="2"/>
  <c r="J19" i="2" s="1"/>
  <c r="K16" i="2"/>
  <c r="J16" i="2" s="1"/>
  <c r="K13" i="2"/>
  <c r="J13" i="2" s="1"/>
  <c r="K10" i="2"/>
  <c r="J10" i="2" s="1"/>
  <c r="O483" i="2"/>
  <c r="P483" i="2" s="1"/>
  <c r="S483" i="2" s="1"/>
  <c r="T483" i="2" s="1"/>
  <c r="V483" i="2" s="1"/>
  <c r="W483" i="2" s="1"/>
  <c r="F479" i="2"/>
  <c r="F467" i="2"/>
  <c r="V429" i="2"/>
  <c r="W429" i="2" s="1"/>
  <c r="R429" i="2"/>
  <c r="R425" i="2"/>
  <c r="R421" i="2"/>
  <c r="R417" i="2"/>
  <c r="R413" i="2"/>
  <c r="R409" i="2"/>
  <c r="R405" i="2"/>
  <c r="R401" i="2"/>
  <c r="R397" i="2"/>
  <c r="R393" i="2"/>
  <c r="V45" i="1"/>
  <c r="W45" i="1" s="1"/>
  <c r="V18" i="1"/>
  <c r="W18" i="1" s="1"/>
  <c r="AE14" i="6"/>
  <c r="AD14" i="6"/>
  <c r="AA14" i="6"/>
  <c r="Z14" i="6"/>
  <c r="AD11" i="6"/>
  <c r="T180" i="2"/>
  <c r="V179" i="2" s="1"/>
  <c r="W179" i="2" s="1"/>
  <c r="D24" i="7"/>
  <c r="D28" i="7"/>
  <c r="D32" i="7"/>
  <c r="K24" i="4"/>
  <c r="U20" i="4"/>
  <c r="V20" i="4" s="1"/>
  <c r="S19" i="4"/>
  <c r="U16" i="4"/>
  <c r="V16" i="4" s="1"/>
  <c r="U15" i="4"/>
  <c r="V15" i="4" s="1"/>
  <c r="S15" i="4"/>
  <c r="R15" i="4" s="1"/>
  <c r="O15" i="4" s="1"/>
  <c r="N15" i="4" s="1"/>
  <c r="M15" i="4" s="1"/>
  <c r="L15" i="4" s="1"/>
  <c r="K15" i="4" s="1"/>
  <c r="J15" i="4" s="1"/>
  <c r="I15" i="4" s="1"/>
  <c r="S11" i="4"/>
  <c r="R11" i="4" s="1"/>
  <c r="O11" i="4" s="1"/>
  <c r="N11" i="4" s="1"/>
  <c r="M11" i="4" s="1"/>
  <c r="L11" i="4" s="1"/>
  <c r="K11" i="4" s="1"/>
  <c r="J11" i="4" s="1"/>
  <c r="I11" i="4" s="1"/>
  <c r="O17" i="7"/>
  <c r="N17" i="7" s="1"/>
  <c r="M17" i="7" s="1"/>
  <c r="L17" i="7" s="1"/>
  <c r="K17" i="7" s="1"/>
  <c r="J17" i="7" s="1"/>
  <c r="I17" i="7" s="1"/>
  <c r="U18" i="7"/>
  <c r="V18" i="7" s="1"/>
  <c r="R18" i="7"/>
  <c r="Q18" i="7"/>
  <c r="O12" i="7"/>
  <c r="N12" i="7" s="1"/>
  <c r="M12" i="7" s="1"/>
  <c r="L12" i="7" s="1"/>
  <c r="K12" i="7" s="1"/>
  <c r="U13" i="7"/>
  <c r="V13" i="7" s="1"/>
  <c r="Q13" i="7"/>
  <c r="V100" i="8"/>
  <c r="W100" i="8" s="1"/>
  <c r="U100" i="8"/>
  <c r="V97" i="8"/>
  <c r="W97" i="8" s="1"/>
  <c r="U97" i="8"/>
  <c r="U94" i="8"/>
  <c r="V94" i="8" s="1"/>
  <c r="W94" i="8" s="1"/>
  <c r="V91" i="8"/>
  <c r="W91" i="8" s="1"/>
  <c r="U91" i="8"/>
  <c r="V88" i="8"/>
  <c r="W88" i="8" s="1"/>
  <c r="U88" i="8"/>
  <c r="V85" i="8"/>
  <c r="W85" i="8" s="1"/>
  <c r="U85" i="8"/>
  <c r="R85" i="8"/>
  <c r="P85" i="8"/>
  <c r="O85" i="8" s="1"/>
  <c r="L85" i="8"/>
  <c r="S84" i="8"/>
  <c r="T84" i="8" s="1"/>
  <c r="U84" i="8" s="1"/>
  <c r="V84" i="8" s="1"/>
  <c r="W84" i="8" s="1"/>
  <c r="P84" i="8"/>
  <c r="N84" i="8"/>
  <c r="M84" i="8" s="1"/>
  <c r="L84" i="8" s="1"/>
  <c r="K84" i="8" s="1"/>
  <c r="J84" i="8" s="1"/>
  <c r="L80" i="8"/>
  <c r="P80" i="8"/>
  <c r="O80" i="8" s="1"/>
  <c r="N79" i="8"/>
  <c r="M79" i="8" s="1"/>
  <c r="L79" i="8" s="1"/>
  <c r="K79" i="8" s="1"/>
  <c r="J79" i="8" s="1"/>
  <c r="P79" i="8"/>
  <c r="V80" i="8"/>
  <c r="W80" i="8" s="1"/>
  <c r="U80" i="8"/>
  <c r="R80" i="8"/>
  <c r="U72" i="8"/>
  <c r="V72" i="8" s="1"/>
  <c r="W72" i="8" s="1"/>
  <c r="U69" i="8"/>
  <c r="V69" i="8" s="1"/>
  <c r="W69" i="8" s="1"/>
  <c r="U66" i="8"/>
  <c r="V66" i="8" s="1"/>
  <c r="W66" i="8" s="1"/>
  <c r="U63" i="8"/>
  <c r="V63" i="8" s="1"/>
  <c r="W63" i="8" s="1"/>
  <c r="S29" i="8"/>
  <c r="P29" i="8" s="1"/>
  <c r="O29" i="8" s="1"/>
  <c r="N29" i="8" s="1"/>
  <c r="M29" i="8" s="1"/>
  <c r="AD22" i="6"/>
  <c r="AD18" i="6"/>
  <c r="Z18" i="6"/>
  <c r="Z22" i="6"/>
  <c r="X18" i="6"/>
  <c r="Y18" i="6" s="1"/>
  <c r="P17" i="6"/>
  <c r="Q17" i="6" s="1"/>
  <c r="P16" i="6"/>
  <c r="Q16" i="6" s="1"/>
  <c r="R16" i="6" s="1"/>
  <c r="S16" i="6" s="1"/>
  <c r="T16" i="6" s="1"/>
  <c r="W16" i="6" s="1"/>
  <c r="X16" i="6" s="1"/>
  <c r="Y16" i="6" s="1"/>
  <c r="AA16" i="6" s="1"/>
  <c r="AB16" i="6" s="1"/>
  <c r="X22" i="6"/>
  <c r="Y22" i="6" s="1"/>
  <c r="E10" i="9"/>
  <c r="J11" i="9"/>
  <c r="I10" i="9"/>
  <c r="J10" i="9" s="1"/>
  <c r="K10" i="9" s="1"/>
  <c r="L10" i="9" s="1"/>
  <c r="M10" i="9" s="1"/>
  <c r="O10" i="9" s="1"/>
  <c r="P10" i="9" s="1"/>
  <c r="Q10" i="9" s="1"/>
  <c r="R10" i="9" s="1"/>
  <c r="S10" i="9" s="1"/>
  <c r="R100" i="8"/>
  <c r="U99" i="8"/>
  <c r="V99" i="8" s="1"/>
  <c r="W99" i="8" s="1"/>
  <c r="K99" i="8"/>
  <c r="L99" i="8" s="1"/>
  <c r="M99" i="8" s="1"/>
  <c r="N99" i="8" s="1"/>
  <c r="O99" i="8" s="1"/>
  <c r="P99" i="8" s="1"/>
  <c r="F99" i="8"/>
  <c r="X99" i="8" s="1"/>
  <c r="R97" i="8"/>
  <c r="U96" i="8"/>
  <c r="V96" i="8" s="1"/>
  <c r="W96" i="8" s="1"/>
  <c r="K96" i="8"/>
  <c r="L96" i="8" s="1"/>
  <c r="M96" i="8" s="1"/>
  <c r="N96" i="8" s="1"/>
  <c r="O96" i="8" s="1"/>
  <c r="P96" i="8" s="1"/>
  <c r="S96" i="8" s="1"/>
  <c r="F96" i="8"/>
  <c r="X96" i="8" s="1"/>
  <c r="R94" i="8"/>
  <c r="P94" i="8"/>
  <c r="W93" i="8"/>
  <c r="K93" i="8"/>
  <c r="L93" i="8" s="1"/>
  <c r="M93" i="8" s="1"/>
  <c r="N93" i="8" s="1"/>
  <c r="O93" i="8" s="1"/>
  <c r="P93" i="8" s="1"/>
  <c r="S93" i="8" s="1"/>
  <c r="T93" i="8" s="1"/>
  <c r="U93" i="8" s="1"/>
  <c r="F93" i="8"/>
  <c r="R91" i="8"/>
  <c r="U90" i="8"/>
  <c r="V90" i="8" s="1"/>
  <c r="W90" i="8" s="1"/>
  <c r="K90" i="8"/>
  <c r="L90" i="8" s="1"/>
  <c r="M90" i="8" s="1"/>
  <c r="N90" i="8" s="1"/>
  <c r="O90" i="8" s="1"/>
  <c r="P90" i="8" s="1"/>
  <c r="S90" i="8" s="1"/>
  <c r="T90" i="8" s="1"/>
  <c r="F90" i="8"/>
  <c r="R88" i="8"/>
  <c r="U87" i="8"/>
  <c r="V87" i="8" s="1"/>
  <c r="W87" i="8" s="1"/>
  <c r="K87" i="8"/>
  <c r="L87" i="8" s="1"/>
  <c r="M87" i="8" s="1"/>
  <c r="N87" i="8" s="1"/>
  <c r="O87" i="8" s="1"/>
  <c r="P87" i="8" s="1"/>
  <c r="S87" i="8" s="1"/>
  <c r="T87" i="8" s="1"/>
  <c r="F87" i="8"/>
  <c r="X87" i="8" s="1"/>
  <c r="P83" i="8"/>
  <c r="S83" i="8" s="1"/>
  <c r="T83" i="8" s="1"/>
  <c r="U83" i="8" s="1"/>
  <c r="V83" i="8" s="1"/>
  <c r="W83" i="8" s="1"/>
  <c r="O82" i="8"/>
  <c r="P82" i="8" s="1"/>
  <c r="S82" i="8" s="1"/>
  <c r="T82" i="8" s="1"/>
  <c r="U82" i="8" s="1"/>
  <c r="V82" i="8" s="1"/>
  <c r="W82" i="8" s="1"/>
  <c r="K82" i="8"/>
  <c r="L82" i="8" s="1"/>
  <c r="M82" i="8" s="1"/>
  <c r="F82" i="8"/>
  <c r="X82" i="8" s="1"/>
  <c r="T79" i="8"/>
  <c r="U79" i="8" s="1"/>
  <c r="V79" i="8" s="1"/>
  <c r="S79" i="8"/>
  <c r="P78" i="8"/>
  <c r="S78" i="8" s="1"/>
  <c r="T78" i="8" s="1"/>
  <c r="U78" i="8" s="1"/>
  <c r="V78" i="8" s="1"/>
  <c r="W78" i="8" s="1"/>
  <c r="K77" i="8"/>
  <c r="L77" i="8" s="1"/>
  <c r="M77" i="8" s="1"/>
  <c r="N77" i="8" s="1"/>
  <c r="O77" i="8" s="1"/>
  <c r="P77" i="8" s="1"/>
  <c r="S77" i="8" s="1"/>
  <c r="T77" i="8" s="1"/>
  <c r="U77" i="8" s="1"/>
  <c r="V77" i="8" s="1"/>
  <c r="W77" i="8" s="1"/>
  <c r="F77" i="8"/>
  <c r="X77" i="8" s="1"/>
  <c r="U75" i="8"/>
  <c r="V75" i="8" s="1"/>
  <c r="W75" i="8" s="1"/>
  <c r="R75" i="8"/>
  <c r="U74" i="8"/>
  <c r="V74" i="8" s="1"/>
  <c r="W74" i="8" s="1"/>
  <c r="K74" i="8"/>
  <c r="L74" i="8" s="1"/>
  <c r="M74" i="8" s="1"/>
  <c r="N74" i="8" s="1"/>
  <c r="O74" i="8" s="1"/>
  <c r="P74" i="8" s="1"/>
  <c r="S74" i="8" s="1"/>
  <c r="T74" i="8" s="1"/>
  <c r="F74" i="8"/>
  <c r="X74" i="8" s="1"/>
  <c r="R72" i="8"/>
  <c r="U71" i="8"/>
  <c r="V71" i="8" s="1"/>
  <c r="W71" i="8" s="1"/>
  <c r="K71" i="8"/>
  <c r="L71" i="8" s="1"/>
  <c r="M71" i="8" s="1"/>
  <c r="N71" i="8" s="1"/>
  <c r="O71" i="8" s="1"/>
  <c r="P71" i="8" s="1"/>
  <c r="S71" i="8" s="1"/>
  <c r="T71" i="8" s="1"/>
  <c r="F71" i="8"/>
  <c r="R69" i="8"/>
  <c r="U68" i="8"/>
  <c r="V68" i="8" s="1"/>
  <c r="W68" i="8" s="1"/>
  <c r="K68" i="8"/>
  <c r="L68" i="8" s="1"/>
  <c r="M68" i="8" s="1"/>
  <c r="N68" i="8" s="1"/>
  <c r="O68" i="8" s="1"/>
  <c r="P68" i="8" s="1"/>
  <c r="S68" i="8" s="1"/>
  <c r="T68" i="8" s="1"/>
  <c r="F68" i="8"/>
  <c r="X68" i="8" s="1"/>
  <c r="R66" i="8"/>
  <c r="U65" i="8"/>
  <c r="V65" i="8" s="1"/>
  <c r="W65" i="8" s="1"/>
  <c r="K65" i="8"/>
  <c r="L65" i="8" s="1"/>
  <c r="M65" i="8" s="1"/>
  <c r="N65" i="8" s="1"/>
  <c r="O65" i="8" s="1"/>
  <c r="P65" i="8" s="1"/>
  <c r="S65" i="8" s="1"/>
  <c r="T65" i="8" s="1"/>
  <c r="F65" i="8"/>
  <c r="R63" i="8"/>
  <c r="U62" i="8"/>
  <c r="V62" i="8" s="1"/>
  <c r="W62" i="8" s="1"/>
  <c r="K62" i="8"/>
  <c r="L62" i="8" s="1"/>
  <c r="M62" i="8" s="1"/>
  <c r="N62" i="8" s="1"/>
  <c r="O62" i="8" s="1"/>
  <c r="P62" i="8" s="1"/>
  <c r="S62" i="8" s="1"/>
  <c r="T62" i="8" s="1"/>
  <c r="F62" i="8"/>
  <c r="X62" i="8" s="1"/>
  <c r="W59" i="8"/>
  <c r="R59" i="8"/>
  <c r="U58" i="8"/>
  <c r="V58" i="8" s="1"/>
  <c r="W58" i="8" s="1"/>
  <c r="K58" i="8"/>
  <c r="L58" i="8" s="1"/>
  <c r="M58" i="8" s="1"/>
  <c r="N58" i="8" s="1"/>
  <c r="O58" i="8" s="1"/>
  <c r="P58" i="8" s="1"/>
  <c r="S58" i="8" s="1"/>
  <c r="F58" i="8"/>
  <c r="X58" i="8" s="1"/>
  <c r="W56" i="8"/>
  <c r="R56" i="8"/>
  <c r="U55" i="8"/>
  <c r="V55" i="8" s="1"/>
  <c r="W55" i="8" s="1"/>
  <c r="K55" i="8"/>
  <c r="L55" i="8" s="1"/>
  <c r="M55" i="8" s="1"/>
  <c r="N55" i="8" s="1"/>
  <c r="O55" i="8" s="1"/>
  <c r="P55" i="8" s="1"/>
  <c r="S55" i="8" s="1"/>
  <c r="F55" i="8"/>
  <c r="W53" i="8"/>
  <c r="R53" i="8"/>
  <c r="K52" i="8"/>
  <c r="L52" i="8" s="1"/>
  <c r="M52" i="8" s="1"/>
  <c r="N52" i="8" s="1"/>
  <c r="O52" i="8" s="1"/>
  <c r="P52" i="8" s="1"/>
  <c r="S52" i="8" s="1"/>
  <c r="T52" i="8" s="1"/>
  <c r="U52" i="8" s="1"/>
  <c r="V52" i="8" s="1"/>
  <c r="W52" i="8" s="1"/>
  <c r="F52" i="8"/>
  <c r="X52" i="8" s="1"/>
  <c r="W50" i="8"/>
  <c r="R50" i="8"/>
  <c r="U49" i="8"/>
  <c r="V49" i="8" s="1"/>
  <c r="W49" i="8" s="1"/>
  <c r="K49" i="8"/>
  <c r="L49" i="8" s="1"/>
  <c r="M49" i="8" s="1"/>
  <c r="N49" i="8" s="1"/>
  <c r="O49" i="8" s="1"/>
  <c r="P49" i="8" s="1"/>
  <c r="S49" i="8" s="1"/>
  <c r="F49" i="8"/>
  <c r="X49" i="8" s="1"/>
  <c r="W47" i="8"/>
  <c r="R47" i="8"/>
  <c r="U46" i="8"/>
  <c r="V46" i="8" s="1"/>
  <c r="W46" i="8" s="1"/>
  <c r="K46" i="8"/>
  <c r="L46" i="8" s="1"/>
  <c r="M46" i="8" s="1"/>
  <c r="N46" i="8" s="1"/>
  <c r="O46" i="8" s="1"/>
  <c r="P46" i="8" s="1"/>
  <c r="S46" i="8" s="1"/>
  <c r="F46" i="8"/>
  <c r="W44" i="8"/>
  <c r="R44" i="8"/>
  <c r="U43" i="8"/>
  <c r="V43" i="8" s="1"/>
  <c r="W43" i="8" s="1"/>
  <c r="K43" i="8"/>
  <c r="L43" i="8" s="1"/>
  <c r="M43" i="8" s="1"/>
  <c r="N43" i="8" s="1"/>
  <c r="O43" i="8" s="1"/>
  <c r="P43" i="8" s="1"/>
  <c r="S43" i="8" s="1"/>
  <c r="F43" i="8"/>
  <c r="X43" i="8" s="1"/>
  <c r="W41" i="8"/>
  <c r="R41" i="8"/>
  <c r="U40" i="8"/>
  <c r="V40" i="8" s="1"/>
  <c r="W40" i="8" s="1"/>
  <c r="K40" i="8"/>
  <c r="L40" i="8" s="1"/>
  <c r="M40" i="8" s="1"/>
  <c r="N40" i="8" s="1"/>
  <c r="O40" i="8" s="1"/>
  <c r="P40" i="8" s="1"/>
  <c r="S40" i="8" s="1"/>
  <c r="F40" i="8"/>
  <c r="W38" i="8"/>
  <c r="R38" i="8"/>
  <c r="U37" i="8"/>
  <c r="V37" i="8" s="1"/>
  <c r="W37" i="8" s="1"/>
  <c r="K37" i="8"/>
  <c r="L37" i="8" s="1"/>
  <c r="M37" i="8" s="1"/>
  <c r="N37" i="8" s="1"/>
  <c r="O37" i="8" s="1"/>
  <c r="P37" i="8" s="1"/>
  <c r="S37" i="8" s="1"/>
  <c r="F37" i="8"/>
  <c r="X37" i="8" s="1"/>
  <c r="W35" i="8"/>
  <c r="R35" i="8"/>
  <c r="U34" i="8"/>
  <c r="V34" i="8" s="1"/>
  <c r="W34" i="8" s="1"/>
  <c r="K34" i="8"/>
  <c r="L34" i="8" s="1"/>
  <c r="M34" i="8" s="1"/>
  <c r="N34" i="8" s="1"/>
  <c r="O34" i="8" s="1"/>
  <c r="P34" i="8" s="1"/>
  <c r="S34" i="8" s="1"/>
  <c r="F34" i="8"/>
  <c r="R30" i="8"/>
  <c r="U29" i="8"/>
  <c r="V29" i="8" s="1"/>
  <c r="W29" i="8" s="1"/>
  <c r="U28" i="8"/>
  <c r="V28" i="8" s="1"/>
  <c r="W28" i="8" s="1"/>
  <c r="K28" i="8"/>
  <c r="L28" i="8" s="1"/>
  <c r="M28" i="8" s="1"/>
  <c r="N28" i="8" s="1"/>
  <c r="O28" i="8" s="1"/>
  <c r="P28" i="8" s="1"/>
  <c r="S28" i="8" s="1"/>
  <c r="F28" i="8"/>
  <c r="X28" i="8" s="1"/>
  <c r="W25" i="8"/>
  <c r="R25" i="8"/>
  <c r="K24" i="8"/>
  <c r="L24" i="8" s="1"/>
  <c r="M24" i="8" s="1"/>
  <c r="N24" i="8" s="1"/>
  <c r="O24" i="8" s="1"/>
  <c r="P24" i="8" s="1"/>
  <c r="S24" i="8" s="1"/>
  <c r="T24" i="8" s="1"/>
  <c r="U24" i="8" s="1"/>
  <c r="V24" i="8" s="1"/>
  <c r="W24" i="8" s="1"/>
  <c r="F24" i="8"/>
  <c r="X24" i="8" s="1"/>
  <c r="W22" i="8"/>
  <c r="K21" i="8"/>
  <c r="L21" i="8" s="1"/>
  <c r="M21" i="8" s="1"/>
  <c r="N21" i="8" s="1"/>
  <c r="O21" i="8" s="1"/>
  <c r="P21" i="8" s="1"/>
  <c r="S21" i="8" s="1"/>
  <c r="T21" i="8" s="1"/>
  <c r="U21" i="8" s="1"/>
  <c r="V21" i="8" s="1"/>
  <c r="W21" i="8" s="1"/>
  <c r="F21" i="8"/>
  <c r="X21" i="8" s="1"/>
  <c r="W19" i="8"/>
  <c r="R19" i="8"/>
  <c r="K18" i="8"/>
  <c r="L18" i="8" s="1"/>
  <c r="M18" i="8" s="1"/>
  <c r="N18" i="8" s="1"/>
  <c r="O18" i="8" s="1"/>
  <c r="P18" i="8" s="1"/>
  <c r="S18" i="8" s="1"/>
  <c r="T18" i="8" s="1"/>
  <c r="U18" i="8" s="1"/>
  <c r="V18" i="8" s="1"/>
  <c r="W18" i="8" s="1"/>
  <c r="F18" i="8"/>
  <c r="X18" i="8" s="1"/>
  <c r="W16" i="8"/>
  <c r="R22" i="8"/>
  <c r="K15" i="8"/>
  <c r="L15" i="8" s="1"/>
  <c r="M15" i="8" s="1"/>
  <c r="N15" i="8" s="1"/>
  <c r="O15" i="8" s="1"/>
  <c r="P15" i="8" s="1"/>
  <c r="S15" i="8" s="1"/>
  <c r="T15" i="8" s="1"/>
  <c r="U15" i="8" s="1"/>
  <c r="V15" i="8" s="1"/>
  <c r="W15" i="8" s="1"/>
  <c r="F15" i="8"/>
  <c r="W13" i="8"/>
  <c r="R13" i="8"/>
  <c r="P13" i="8"/>
  <c r="K12" i="8"/>
  <c r="L12" i="8" s="1"/>
  <c r="M12" i="8" s="1"/>
  <c r="N12" i="8" s="1"/>
  <c r="O12" i="8" s="1"/>
  <c r="P12" i="8" s="1"/>
  <c r="S12" i="8" s="1"/>
  <c r="T12" i="8" s="1"/>
  <c r="U12" i="8" s="1"/>
  <c r="V12" i="8" s="1"/>
  <c r="W12" i="8" s="1"/>
  <c r="F12" i="8"/>
  <c r="X12" i="8" s="1"/>
  <c r="K33" i="7"/>
  <c r="L33" i="7" s="1"/>
  <c r="M33" i="7" s="1"/>
  <c r="N33" i="7" s="1"/>
  <c r="R33" i="7" s="1"/>
  <c r="S33" i="7" s="1"/>
  <c r="T33" i="7" s="1"/>
  <c r="U33" i="7" s="1"/>
  <c r="V33" i="7" s="1"/>
  <c r="L32" i="7"/>
  <c r="M32" i="7" s="1"/>
  <c r="N32" i="7" s="1"/>
  <c r="R32" i="7" s="1"/>
  <c r="S32" i="7" s="1"/>
  <c r="U32" i="7" s="1"/>
  <c r="K29" i="7"/>
  <c r="L29" i="7" s="1"/>
  <c r="M29" i="7" s="1"/>
  <c r="N29" i="7" s="1"/>
  <c r="R29" i="7" s="1"/>
  <c r="S29" i="7" s="1"/>
  <c r="T29" i="7" s="1"/>
  <c r="U29" i="7" s="1"/>
  <c r="V29" i="7" s="1"/>
  <c r="L28" i="7"/>
  <c r="M28" i="7" s="1"/>
  <c r="N28" i="7" s="1"/>
  <c r="R28" i="7" s="1"/>
  <c r="S28" i="7" s="1"/>
  <c r="K25" i="7"/>
  <c r="L25" i="7" s="1"/>
  <c r="M25" i="7" s="1"/>
  <c r="N25" i="7" s="1"/>
  <c r="R25" i="7" s="1"/>
  <c r="S25" i="7" s="1"/>
  <c r="T25" i="7" s="1"/>
  <c r="U25" i="7" s="1"/>
  <c r="V25" i="7" s="1"/>
  <c r="L24" i="7"/>
  <c r="M24" i="7" s="1"/>
  <c r="N24" i="7" s="1"/>
  <c r="R24" i="7" s="1"/>
  <c r="S24" i="7" s="1"/>
  <c r="U24" i="7" s="1"/>
  <c r="K21" i="7"/>
  <c r="L21" i="7" s="1"/>
  <c r="M21" i="7" s="1"/>
  <c r="N21" i="7" s="1"/>
  <c r="R21" i="7" s="1"/>
  <c r="S21" i="7" s="1"/>
  <c r="T21" i="7" s="1"/>
  <c r="U21" i="7" s="1"/>
  <c r="V21" i="7" s="1"/>
  <c r="D20" i="7"/>
  <c r="S17" i="7"/>
  <c r="T17" i="7" s="1"/>
  <c r="U17" i="7" s="1"/>
  <c r="V17" i="7" s="1"/>
  <c r="O16" i="7"/>
  <c r="R16" i="7" s="1"/>
  <c r="S16" i="7" s="1"/>
  <c r="T16" i="7" s="1"/>
  <c r="U16" i="7" s="1"/>
  <c r="V16" i="7" s="1"/>
  <c r="J15" i="7"/>
  <c r="K15" i="7" s="1"/>
  <c r="L15" i="7" s="1"/>
  <c r="M15" i="7" s="1"/>
  <c r="N15" i="7" s="1"/>
  <c r="O15" i="7" s="1"/>
  <c r="R15" i="7" s="1"/>
  <c r="S15" i="7" s="1"/>
  <c r="T15" i="7" s="1"/>
  <c r="U15" i="7" s="1"/>
  <c r="V15" i="7" s="1"/>
  <c r="D15" i="7"/>
  <c r="S12" i="7"/>
  <c r="T12" i="7" s="1"/>
  <c r="U12" i="7" s="1"/>
  <c r="V12" i="7" s="1"/>
  <c r="O11" i="7"/>
  <c r="R11" i="7" s="1"/>
  <c r="S11" i="7" s="1"/>
  <c r="T11" i="7" s="1"/>
  <c r="U11" i="7" s="1"/>
  <c r="V11" i="7" s="1"/>
  <c r="J10" i="7"/>
  <c r="K10" i="7" s="1"/>
  <c r="L10" i="7" s="1"/>
  <c r="M10" i="7" s="1"/>
  <c r="N10" i="7" s="1"/>
  <c r="O10" i="7" s="1"/>
  <c r="R10" i="7" s="1"/>
  <c r="S10" i="7" s="1"/>
  <c r="T10" i="7" s="1"/>
  <c r="U10" i="7" s="1"/>
  <c r="V10" i="7" s="1"/>
  <c r="D10" i="7"/>
  <c r="P21" i="6"/>
  <c r="Q21" i="6" s="1"/>
  <c r="P20" i="6"/>
  <c r="Q20" i="6" s="1"/>
  <c r="R20" i="6" s="1"/>
  <c r="S20" i="6" s="1"/>
  <c r="T20" i="6" s="1"/>
  <c r="W20" i="6" s="1"/>
  <c r="X20" i="6" s="1"/>
  <c r="Y20" i="6" s="1"/>
  <c r="AA20" i="6" s="1"/>
  <c r="AB20" i="6" s="1"/>
  <c r="I13" i="6"/>
  <c r="J13" i="6" s="1"/>
  <c r="K13" i="6" s="1"/>
  <c r="L13" i="6" s="1"/>
  <c r="M13" i="6" s="1"/>
  <c r="O13" i="6" s="1"/>
  <c r="P13" i="6" s="1"/>
  <c r="Q13" i="6" s="1"/>
  <c r="R13" i="6" s="1"/>
  <c r="S13" i="6" s="1"/>
  <c r="T13" i="6" s="1"/>
  <c r="W13" i="6" s="1"/>
  <c r="X13" i="6" s="1"/>
  <c r="Y13" i="6" s="1"/>
  <c r="AA13" i="6" s="1"/>
  <c r="AB13" i="6" s="1"/>
  <c r="AD13" i="6" s="1"/>
  <c r="AE13" i="6" s="1"/>
  <c r="AF13" i="6" s="1"/>
  <c r="E13" i="6"/>
  <c r="AD10" i="6"/>
  <c r="AE10" i="6" s="1"/>
  <c r="AF10" i="6" s="1"/>
  <c r="AB10" i="6"/>
  <c r="I10" i="6"/>
  <c r="J10" i="6" s="1"/>
  <c r="K10" i="6" s="1"/>
  <c r="L10" i="6" s="1"/>
  <c r="M10" i="6" s="1"/>
  <c r="O10" i="6" s="1"/>
  <c r="P10" i="6" s="1"/>
  <c r="Q10" i="6" s="1"/>
  <c r="R10" i="6" s="1"/>
  <c r="S10" i="6" s="1"/>
  <c r="T10" i="6" s="1"/>
  <c r="W10" i="6" s="1"/>
  <c r="X10" i="6" s="1"/>
  <c r="Y10" i="6" s="1"/>
  <c r="E10" i="6"/>
  <c r="Z11" i="6" s="1"/>
  <c r="AD7" i="6"/>
  <c r="I7" i="6"/>
  <c r="J7" i="6" s="1"/>
  <c r="K7" i="6" s="1"/>
  <c r="L7" i="6" s="1"/>
  <c r="M7" i="6" s="1"/>
  <c r="O7" i="6" s="1"/>
  <c r="P7" i="6" s="1"/>
  <c r="Q7" i="6" s="1"/>
  <c r="R7" i="6" s="1"/>
  <c r="S7" i="6" s="1"/>
  <c r="T7" i="6" s="1"/>
  <c r="W7" i="6" s="1"/>
  <c r="X7" i="6" s="1"/>
  <c r="Y7" i="6" s="1"/>
  <c r="E7" i="6"/>
  <c r="L49" i="4"/>
  <c r="M49" i="4" s="1"/>
  <c r="N49" i="4" s="1"/>
  <c r="O49" i="4" s="1"/>
  <c r="R49" i="4" s="1"/>
  <c r="S49" i="4" s="1"/>
  <c r="T49" i="4" s="1"/>
  <c r="U49" i="4" s="1"/>
  <c r="V49" i="4" s="1"/>
  <c r="K49" i="4"/>
  <c r="J48" i="4"/>
  <c r="K48" i="4" s="1"/>
  <c r="L48" i="4" s="1"/>
  <c r="M48" i="4" s="1"/>
  <c r="N48" i="4" s="1"/>
  <c r="O48" i="4" s="1"/>
  <c r="R48" i="4" s="1"/>
  <c r="S48" i="4" s="1"/>
  <c r="T48" i="4" s="1"/>
  <c r="U48" i="4" s="1"/>
  <c r="J47" i="4"/>
  <c r="K47" i="4" s="1"/>
  <c r="L47" i="4" s="1"/>
  <c r="M47" i="4" s="1"/>
  <c r="N47" i="4" s="1"/>
  <c r="O47" i="4" s="1"/>
  <c r="R47" i="4" s="1"/>
  <c r="S47" i="4" s="1"/>
  <c r="T47" i="4" s="1"/>
  <c r="U47" i="4" s="1"/>
  <c r="V47" i="4" s="1"/>
  <c r="D47" i="4"/>
  <c r="K44" i="4"/>
  <c r="L44" i="4" s="1"/>
  <c r="M44" i="4" s="1"/>
  <c r="N44" i="4" s="1"/>
  <c r="O44" i="4" s="1"/>
  <c r="R44" i="4" s="1"/>
  <c r="S44" i="4" s="1"/>
  <c r="T44" i="4" s="1"/>
  <c r="U44" i="4" s="1"/>
  <c r="V44" i="4" s="1"/>
  <c r="J43" i="4"/>
  <c r="K43" i="4" s="1"/>
  <c r="L43" i="4" s="1"/>
  <c r="M43" i="4" s="1"/>
  <c r="N43" i="4" s="1"/>
  <c r="O43" i="4" s="1"/>
  <c r="R43" i="4" s="1"/>
  <c r="S43" i="4" s="1"/>
  <c r="T43" i="4" s="1"/>
  <c r="U43" i="4" s="1"/>
  <c r="J42" i="4"/>
  <c r="K42" i="4" s="1"/>
  <c r="L42" i="4" s="1"/>
  <c r="M42" i="4" s="1"/>
  <c r="N42" i="4" s="1"/>
  <c r="O42" i="4" s="1"/>
  <c r="R42" i="4" s="1"/>
  <c r="S42" i="4" s="1"/>
  <c r="T42" i="4" s="1"/>
  <c r="U42" i="4" s="1"/>
  <c r="V42" i="4" s="1"/>
  <c r="D42" i="4"/>
  <c r="K39" i="4"/>
  <c r="L39" i="4" s="1"/>
  <c r="M39" i="4" s="1"/>
  <c r="N39" i="4" s="1"/>
  <c r="O39" i="4" s="1"/>
  <c r="R39" i="4" s="1"/>
  <c r="S39" i="4" s="1"/>
  <c r="T39" i="4" s="1"/>
  <c r="U39" i="4" s="1"/>
  <c r="V39" i="4" s="1"/>
  <c r="J38" i="4"/>
  <c r="K38" i="4" s="1"/>
  <c r="L38" i="4" s="1"/>
  <c r="M38" i="4" s="1"/>
  <c r="N38" i="4" s="1"/>
  <c r="O38" i="4" s="1"/>
  <c r="R38" i="4" s="1"/>
  <c r="S38" i="4" s="1"/>
  <c r="T38" i="4" s="1"/>
  <c r="U38" i="4" s="1"/>
  <c r="J37" i="4"/>
  <c r="K37" i="4" s="1"/>
  <c r="L37" i="4" s="1"/>
  <c r="M37" i="4" s="1"/>
  <c r="N37" i="4" s="1"/>
  <c r="O37" i="4" s="1"/>
  <c r="R37" i="4" s="1"/>
  <c r="S37" i="4" s="1"/>
  <c r="T37" i="4" s="1"/>
  <c r="U37" i="4" s="1"/>
  <c r="V37" i="4" s="1"/>
  <c r="D37" i="4"/>
  <c r="K34" i="4"/>
  <c r="L34" i="4" s="1"/>
  <c r="M34" i="4" s="1"/>
  <c r="N34" i="4" s="1"/>
  <c r="O34" i="4" s="1"/>
  <c r="R34" i="4" s="1"/>
  <c r="S34" i="4" s="1"/>
  <c r="T34" i="4" s="1"/>
  <c r="U34" i="4" s="1"/>
  <c r="V34" i="4" s="1"/>
  <c r="J33" i="4"/>
  <c r="K33" i="4" s="1"/>
  <c r="L33" i="4" s="1"/>
  <c r="M33" i="4" s="1"/>
  <c r="N33" i="4" s="1"/>
  <c r="O33" i="4" s="1"/>
  <c r="R33" i="4" s="1"/>
  <c r="S33" i="4" s="1"/>
  <c r="T33" i="4" s="1"/>
  <c r="U33" i="4" s="1"/>
  <c r="J32" i="4"/>
  <c r="K32" i="4" s="1"/>
  <c r="L32" i="4" s="1"/>
  <c r="M32" i="4" s="1"/>
  <c r="N32" i="4" s="1"/>
  <c r="O32" i="4" s="1"/>
  <c r="R32" i="4" s="1"/>
  <c r="S32" i="4" s="1"/>
  <c r="T32" i="4" s="1"/>
  <c r="U32" i="4" s="1"/>
  <c r="V32" i="4" s="1"/>
  <c r="D32" i="4"/>
  <c r="K29" i="4"/>
  <c r="L29" i="4" s="1"/>
  <c r="M29" i="4" s="1"/>
  <c r="N29" i="4" s="1"/>
  <c r="O29" i="4" s="1"/>
  <c r="R29" i="4" s="1"/>
  <c r="S29" i="4" s="1"/>
  <c r="T29" i="4" s="1"/>
  <c r="U29" i="4" s="1"/>
  <c r="V29" i="4" s="1"/>
  <c r="J28" i="4"/>
  <c r="K28" i="4" s="1"/>
  <c r="L28" i="4" s="1"/>
  <c r="M28" i="4" s="1"/>
  <c r="N28" i="4" s="1"/>
  <c r="O28" i="4" s="1"/>
  <c r="R28" i="4" s="1"/>
  <c r="S28" i="4" s="1"/>
  <c r="T28" i="4" s="1"/>
  <c r="U28" i="4" s="1"/>
  <c r="J27" i="4"/>
  <c r="K27" i="4" s="1"/>
  <c r="L27" i="4" s="1"/>
  <c r="M27" i="4" s="1"/>
  <c r="N27" i="4" s="1"/>
  <c r="O27" i="4" s="1"/>
  <c r="R27" i="4" s="1"/>
  <c r="S27" i="4" s="1"/>
  <c r="T27" i="4" s="1"/>
  <c r="U27" i="4" s="1"/>
  <c r="V27" i="4" s="1"/>
  <c r="D27" i="4"/>
  <c r="M24" i="4"/>
  <c r="N24" i="4" s="1"/>
  <c r="O24" i="4" s="1"/>
  <c r="R24" i="4" s="1"/>
  <c r="S24" i="4" s="1"/>
  <c r="T24" i="4" s="1"/>
  <c r="U24" i="4" s="1"/>
  <c r="V24" i="4" s="1"/>
  <c r="J23" i="4"/>
  <c r="K23" i="4" s="1"/>
  <c r="L23" i="4" s="1"/>
  <c r="M23" i="4" s="1"/>
  <c r="N23" i="4" s="1"/>
  <c r="O23" i="4" s="1"/>
  <c r="R23" i="4" s="1"/>
  <c r="S23" i="4" s="1"/>
  <c r="T23" i="4" s="1"/>
  <c r="U23" i="4" s="1"/>
  <c r="J22" i="4"/>
  <c r="K22" i="4" s="1"/>
  <c r="L22" i="4" s="1"/>
  <c r="M22" i="4" s="1"/>
  <c r="N22" i="4" s="1"/>
  <c r="O22" i="4" s="1"/>
  <c r="R22" i="4" s="1"/>
  <c r="S22" i="4" s="1"/>
  <c r="T22" i="4" s="1"/>
  <c r="U22" i="4" s="1"/>
  <c r="V22" i="4" s="1"/>
  <c r="D22" i="4"/>
  <c r="Q20" i="4"/>
  <c r="U19" i="4"/>
  <c r="V19" i="4" s="1"/>
  <c r="J18" i="4"/>
  <c r="K18" i="4" s="1"/>
  <c r="L18" i="4" s="1"/>
  <c r="D18" i="4"/>
  <c r="Q16" i="4"/>
  <c r="J14" i="4"/>
  <c r="K14" i="4" s="1"/>
  <c r="L14" i="4" s="1"/>
  <c r="D14" i="4"/>
  <c r="Q12" i="4"/>
  <c r="Q66" i="4" s="1"/>
  <c r="U11" i="4"/>
  <c r="V11" i="4" s="1"/>
  <c r="J10" i="4"/>
  <c r="K10" i="4" s="1"/>
  <c r="L10" i="4" s="1"/>
  <c r="M10" i="4" s="1"/>
  <c r="N10" i="4" s="1"/>
  <c r="D10" i="4"/>
  <c r="D39" i="3"/>
  <c r="O39" i="3"/>
  <c r="P39" i="3" s="1"/>
  <c r="Q39" i="3" s="1"/>
  <c r="R39" i="3" s="1"/>
  <c r="S39" i="3" s="1"/>
  <c r="T39" i="3" s="1"/>
  <c r="V39" i="3" s="1"/>
  <c r="W39" i="3" s="1"/>
  <c r="Z39" i="3"/>
  <c r="AB39" i="3" s="1"/>
  <c r="N521" i="2"/>
  <c r="O521" i="2" s="1"/>
  <c r="S521" i="2" s="1"/>
  <c r="T521" i="2" s="1"/>
  <c r="V521" i="2" s="1"/>
  <c r="W521" i="2" s="1"/>
  <c r="V520" i="2"/>
  <c r="W520" i="2" s="1"/>
  <c r="N517" i="2"/>
  <c r="O517" i="2" s="1"/>
  <c r="S517" i="2" s="1"/>
  <c r="T517" i="2" s="1"/>
  <c r="V517" i="2" s="1"/>
  <c r="W517" i="2" s="1"/>
  <c r="V516" i="2"/>
  <c r="W516" i="2" s="1"/>
  <c r="O511" i="2"/>
  <c r="P511" i="2" s="1"/>
  <c r="S511" i="2" s="1"/>
  <c r="T511" i="2" s="1"/>
  <c r="V511" i="2" s="1"/>
  <c r="W511" i="2" s="1"/>
  <c r="F511" i="2"/>
  <c r="O507" i="2"/>
  <c r="P507" i="2" s="1"/>
  <c r="S507" i="2" s="1"/>
  <c r="T507" i="2" s="1"/>
  <c r="V507" i="2" s="1"/>
  <c r="W507" i="2" s="1"/>
  <c r="F507" i="2"/>
  <c r="O503" i="2"/>
  <c r="P503" i="2" s="1"/>
  <c r="S503" i="2" s="1"/>
  <c r="T503" i="2" s="1"/>
  <c r="V503" i="2" s="1"/>
  <c r="W503" i="2" s="1"/>
  <c r="F503" i="2"/>
  <c r="O499" i="2"/>
  <c r="P499" i="2" s="1"/>
  <c r="S499" i="2" s="1"/>
  <c r="T499" i="2" s="1"/>
  <c r="V499" i="2" s="1"/>
  <c r="W499" i="2" s="1"/>
  <c r="F499" i="2"/>
  <c r="O495" i="2"/>
  <c r="P495" i="2" s="1"/>
  <c r="S495" i="2" s="1"/>
  <c r="T495" i="2" s="1"/>
  <c r="V495" i="2" s="1"/>
  <c r="W495" i="2" s="1"/>
  <c r="F495" i="2"/>
  <c r="O491" i="2"/>
  <c r="P491" i="2" s="1"/>
  <c r="S491" i="2" s="1"/>
  <c r="T491" i="2" s="1"/>
  <c r="V491" i="2" s="1"/>
  <c r="W491" i="2" s="1"/>
  <c r="F491" i="2"/>
  <c r="O487" i="2"/>
  <c r="P487" i="2" s="1"/>
  <c r="S487" i="2" s="1"/>
  <c r="T487" i="2" s="1"/>
  <c r="V487" i="2" s="1"/>
  <c r="W487" i="2" s="1"/>
  <c r="F487" i="2"/>
  <c r="F483" i="2"/>
  <c r="O475" i="2"/>
  <c r="P475" i="2" s="1"/>
  <c r="S475" i="2" s="1"/>
  <c r="T475" i="2" s="1"/>
  <c r="V475" i="2" s="1"/>
  <c r="W475" i="2" s="1"/>
  <c r="F475" i="2"/>
  <c r="S472" i="2"/>
  <c r="O471" i="2"/>
  <c r="P471" i="2" s="1"/>
  <c r="S471" i="2" s="1"/>
  <c r="T471" i="2" s="1"/>
  <c r="V471" i="2" s="1"/>
  <c r="W471" i="2" s="1"/>
  <c r="F471" i="2"/>
  <c r="O467" i="2"/>
  <c r="P467" i="2" s="1"/>
  <c r="S467" i="2" s="1"/>
  <c r="T467" i="2" s="1"/>
  <c r="V467" i="2" s="1"/>
  <c r="W467" i="2" s="1"/>
  <c r="O463" i="2"/>
  <c r="P463" i="2" s="1"/>
  <c r="S463" i="2" s="1"/>
  <c r="T463" i="2" s="1"/>
  <c r="V463" i="2" s="1"/>
  <c r="W463" i="2" s="1"/>
  <c r="F463" i="2"/>
  <c r="O459" i="2"/>
  <c r="P459" i="2" s="1"/>
  <c r="S459" i="2" s="1"/>
  <c r="F459" i="2"/>
  <c r="O455" i="2"/>
  <c r="P455" i="2" s="1"/>
  <c r="S455" i="2" s="1"/>
  <c r="T455" i="2" s="1"/>
  <c r="V455" i="2" s="1"/>
  <c r="W455" i="2" s="1"/>
  <c r="F455" i="2"/>
  <c r="W452" i="2"/>
  <c r="O451" i="2"/>
  <c r="P451" i="2" s="1"/>
  <c r="S451" i="2" s="1"/>
  <c r="T451" i="2" s="1"/>
  <c r="V451" i="2" s="1"/>
  <c r="W451" i="2" s="1"/>
  <c r="F451" i="2"/>
  <c r="O447" i="2"/>
  <c r="P447" i="2" s="1"/>
  <c r="S447" i="2" s="1"/>
  <c r="F447" i="2"/>
  <c r="O443" i="2"/>
  <c r="P443" i="2" s="1"/>
  <c r="S443" i="2" s="1"/>
  <c r="T443" i="2" s="1"/>
  <c r="V443" i="2" s="1"/>
  <c r="W443" i="2" s="1"/>
  <c r="F443" i="2"/>
  <c r="W440" i="2"/>
  <c r="O439" i="2"/>
  <c r="P439" i="2" s="1"/>
  <c r="S439" i="2" s="1"/>
  <c r="T439" i="2" s="1"/>
  <c r="V439" i="2" s="1"/>
  <c r="W439" i="2" s="1"/>
  <c r="F439" i="2"/>
  <c r="N436" i="2"/>
  <c r="O436" i="2" s="1"/>
  <c r="F435" i="2"/>
  <c r="F431" i="2"/>
  <c r="O427" i="2"/>
  <c r="P427" i="2" s="1"/>
  <c r="S427" i="2" s="1"/>
  <c r="T427" i="2" s="1"/>
  <c r="V427" i="2" s="1"/>
  <c r="W427" i="2" s="1"/>
  <c r="F427" i="2"/>
  <c r="O423" i="2"/>
  <c r="P423" i="2" s="1"/>
  <c r="S423" i="2" s="1"/>
  <c r="T423" i="2" s="1"/>
  <c r="V423" i="2" s="1"/>
  <c r="W423" i="2" s="1"/>
  <c r="F423" i="2"/>
  <c r="O419" i="2"/>
  <c r="P419" i="2" s="1"/>
  <c r="S419" i="2" s="1"/>
  <c r="T419" i="2" s="1"/>
  <c r="V419" i="2" s="1"/>
  <c r="W419" i="2" s="1"/>
  <c r="F419" i="2"/>
  <c r="O415" i="2"/>
  <c r="P415" i="2" s="1"/>
  <c r="S415" i="2" s="1"/>
  <c r="T415" i="2" s="1"/>
  <c r="V415" i="2" s="1"/>
  <c r="W415" i="2" s="1"/>
  <c r="F415" i="2"/>
  <c r="O411" i="2"/>
  <c r="P411" i="2" s="1"/>
  <c r="S411" i="2" s="1"/>
  <c r="T411" i="2" s="1"/>
  <c r="V411" i="2" s="1"/>
  <c r="W411" i="2" s="1"/>
  <c r="F411" i="2"/>
  <c r="O407" i="2"/>
  <c r="P407" i="2" s="1"/>
  <c r="S407" i="2" s="1"/>
  <c r="T407" i="2" s="1"/>
  <c r="V407" i="2" s="1"/>
  <c r="W407" i="2" s="1"/>
  <c r="F407" i="2"/>
  <c r="O403" i="2"/>
  <c r="P403" i="2" s="1"/>
  <c r="S403" i="2" s="1"/>
  <c r="T403" i="2" s="1"/>
  <c r="V403" i="2" s="1"/>
  <c r="W403" i="2" s="1"/>
  <c r="F403" i="2"/>
  <c r="F399" i="2"/>
  <c r="F395" i="2"/>
  <c r="O391" i="2"/>
  <c r="P391" i="2" s="1"/>
  <c r="S391" i="2" s="1"/>
  <c r="T391" i="2" s="1"/>
  <c r="V391" i="2" s="1"/>
  <c r="W391" i="2" s="1"/>
  <c r="F391" i="2"/>
  <c r="R389" i="2"/>
  <c r="W388" i="2"/>
  <c r="V387" i="2"/>
  <c r="W387" i="2" s="1"/>
  <c r="F387" i="2"/>
  <c r="R385" i="2"/>
  <c r="W384" i="2"/>
  <c r="V383" i="2"/>
  <c r="W383" i="2" s="1"/>
  <c r="F383" i="2"/>
  <c r="R381" i="2"/>
  <c r="W380" i="2"/>
  <c r="V379" i="2"/>
  <c r="W379" i="2" s="1"/>
  <c r="F379" i="2"/>
  <c r="R377" i="2"/>
  <c r="W376" i="2"/>
  <c r="V375" i="2"/>
  <c r="W375" i="2" s="1"/>
  <c r="F375" i="2"/>
  <c r="R373" i="2"/>
  <c r="W372" i="2"/>
  <c r="V371" i="2"/>
  <c r="W371" i="2" s="1"/>
  <c r="F371" i="2"/>
  <c r="R369" i="2"/>
  <c r="W368" i="2"/>
  <c r="V367" i="2"/>
  <c r="W367" i="2" s="1"/>
  <c r="F367" i="2"/>
  <c r="R365" i="2"/>
  <c r="W364" i="2"/>
  <c r="W363" i="2"/>
  <c r="F363" i="2"/>
  <c r="R361" i="2"/>
  <c r="W360" i="2"/>
  <c r="V359" i="2"/>
  <c r="W359" i="2" s="1"/>
  <c r="F359" i="2"/>
  <c r="R357" i="2"/>
  <c r="W356" i="2"/>
  <c r="W355" i="2"/>
  <c r="F355" i="2"/>
  <c r="R353" i="2"/>
  <c r="W352" i="2"/>
  <c r="V351" i="2"/>
  <c r="W351" i="2" s="1"/>
  <c r="F351" i="2"/>
  <c r="R349" i="2"/>
  <c r="W348" i="2"/>
  <c r="V347" i="2"/>
  <c r="W347" i="2" s="1"/>
  <c r="F347" i="2"/>
  <c r="R345" i="2"/>
  <c r="W344" i="2"/>
  <c r="W343" i="2"/>
  <c r="F343" i="2"/>
  <c r="R341" i="2"/>
  <c r="W340" i="2"/>
  <c r="V339" i="2"/>
  <c r="W339" i="2" s="1"/>
  <c r="F339" i="2"/>
  <c r="R337" i="2"/>
  <c r="W336" i="2"/>
  <c r="V335" i="2"/>
  <c r="W335" i="2" s="1"/>
  <c r="F335" i="2"/>
  <c r="R333" i="2"/>
  <c r="W332" i="2"/>
  <c r="V331" i="2"/>
  <c r="W331" i="2" s="1"/>
  <c r="F331" i="2"/>
  <c r="R329" i="2"/>
  <c r="W328" i="2"/>
  <c r="V327" i="2"/>
  <c r="W327" i="2" s="1"/>
  <c r="F327" i="2"/>
  <c r="R325" i="2"/>
  <c r="W324" i="2"/>
  <c r="V323" i="2"/>
  <c r="W323" i="2" s="1"/>
  <c r="F323" i="2"/>
  <c r="R321" i="2"/>
  <c r="W320" i="2"/>
  <c r="V319" i="2"/>
  <c r="W319" i="2" s="1"/>
  <c r="F319" i="2"/>
  <c r="R317" i="2"/>
  <c r="W316" i="2"/>
  <c r="W315" i="2"/>
  <c r="F315" i="2"/>
  <c r="R313" i="2"/>
  <c r="W312" i="2"/>
  <c r="V311" i="2"/>
  <c r="W311" i="2" s="1"/>
  <c r="F311" i="2"/>
  <c r="R309" i="2"/>
  <c r="W308" i="2"/>
  <c r="V307" i="2"/>
  <c r="W307" i="2" s="1"/>
  <c r="F307" i="2"/>
  <c r="R305" i="2"/>
  <c r="W304" i="2"/>
  <c r="V303" i="2"/>
  <c r="W303" i="2" s="1"/>
  <c r="F303" i="2"/>
  <c r="R301" i="2"/>
  <c r="W300" i="2"/>
  <c r="V299" i="2"/>
  <c r="W299" i="2" s="1"/>
  <c r="F299" i="2"/>
  <c r="R297" i="2"/>
  <c r="W296" i="2"/>
  <c r="V295" i="2"/>
  <c r="W295" i="2" s="1"/>
  <c r="R293" i="2"/>
  <c r="W292" i="2"/>
  <c r="V291" i="2"/>
  <c r="W291" i="2" s="1"/>
  <c r="F291" i="2"/>
  <c r="R289" i="2"/>
  <c r="W288" i="2"/>
  <c r="V287" i="2"/>
  <c r="W287" i="2" s="1"/>
  <c r="F287" i="2"/>
  <c r="R285" i="2"/>
  <c r="W284" i="2"/>
  <c r="V283" i="2"/>
  <c r="W283" i="2" s="1"/>
  <c r="F283" i="2"/>
  <c r="R281" i="2"/>
  <c r="W280" i="2"/>
  <c r="V279" i="2"/>
  <c r="W279" i="2" s="1"/>
  <c r="F279" i="2"/>
  <c r="R277" i="2"/>
  <c r="W276" i="2"/>
  <c r="W275" i="2"/>
  <c r="F275" i="2"/>
  <c r="R273" i="2"/>
  <c r="W272" i="2"/>
  <c r="W271" i="2"/>
  <c r="F271" i="2"/>
  <c r="R269" i="2"/>
  <c r="W268" i="2"/>
  <c r="V267" i="2"/>
  <c r="W267" i="2" s="1"/>
  <c r="F267" i="2"/>
  <c r="R265" i="2"/>
  <c r="W264" i="2"/>
  <c r="W263" i="2"/>
  <c r="F263" i="2"/>
  <c r="R261" i="2"/>
  <c r="W260" i="2"/>
  <c r="V259" i="2"/>
  <c r="W259" i="2" s="1"/>
  <c r="F259" i="2"/>
  <c r="R257" i="2"/>
  <c r="W256" i="2"/>
  <c r="W255" i="2"/>
  <c r="F255" i="2"/>
  <c r="R253" i="2"/>
  <c r="W252" i="2"/>
  <c r="W251" i="2"/>
  <c r="F251" i="2"/>
  <c r="R249" i="2"/>
  <c r="W248" i="2"/>
  <c r="W247" i="2"/>
  <c r="F247" i="2"/>
  <c r="R245" i="2"/>
  <c r="W244" i="2"/>
  <c r="W243" i="2"/>
  <c r="F243" i="2"/>
  <c r="R241" i="2"/>
  <c r="W240" i="2"/>
  <c r="W239" i="2"/>
  <c r="R239" i="2"/>
  <c r="R237" i="2"/>
  <c r="F239" i="2" s="1"/>
  <c r="W236" i="2"/>
  <c r="S235" i="2"/>
  <c r="F237" i="2"/>
  <c r="R233" i="2"/>
  <c r="F235" i="2"/>
  <c r="T232" i="2"/>
  <c r="V232" i="2" s="1"/>
  <c r="W232" i="2" s="1"/>
  <c r="W231" i="2"/>
  <c r="W230" i="2"/>
  <c r="F230" i="2"/>
  <c r="R228" i="2"/>
  <c r="T227" i="2"/>
  <c r="V227" i="2" s="1"/>
  <c r="W227" i="2" s="1"/>
  <c r="W226" i="2"/>
  <c r="F225" i="2"/>
  <c r="R223" i="2"/>
  <c r="T222" i="2"/>
  <c r="V222" i="2" s="1"/>
  <c r="W222" i="2" s="1"/>
  <c r="W221" i="2"/>
  <c r="V220" i="2"/>
  <c r="W220" i="2" s="1"/>
  <c r="F220" i="2"/>
  <c r="R218" i="2"/>
  <c r="T217" i="2"/>
  <c r="V217" i="2" s="1"/>
  <c r="W217" i="2" s="1"/>
  <c r="W216" i="2"/>
  <c r="V215" i="2"/>
  <c r="W215" i="2" s="1"/>
  <c r="F215" i="2"/>
  <c r="T212" i="2"/>
  <c r="V212" i="2" s="1"/>
  <c r="W212" i="2" s="1"/>
  <c r="W211" i="2"/>
  <c r="V210" i="2"/>
  <c r="W210" i="2" s="1"/>
  <c r="F210" i="2"/>
  <c r="R208" i="2"/>
  <c r="T207" i="2"/>
  <c r="V207" i="2" s="1"/>
  <c r="W207" i="2" s="1"/>
  <c r="V206" i="2"/>
  <c r="W206" i="2" s="1"/>
  <c r="F206" i="2"/>
  <c r="R204" i="2"/>
  <c r="T203" i="2"/>
  <c r="V203" i="2" s="1"/>
  <c r="W203" i="2" s="1"/>
  <c r="V202" i="2"/>
  <c r="W202" i="2" s="1"/>
  <c r="F202" i="2"/>
  <c r="R200" i="2"/>
  <c r="T199" i="2"/>
  <c r="V199" i="2" s="1"/>
  <c r="W199" i="2" s="1"/>
  <c r="V198" i="2"/>
  <c r="W198" i="2" s="1"/>
  <c r="F198" i="2"/>
  <c r="R196" i="2"/>
  <c r="F194" i="2"/>
  <c r="R192" i="2"/>
  <c r="T192" i="2"/>
  <c r="V191" i="2" s="1"/>
  <c r="W191" i="2" s="1"/>
  <c r="F190" i="2"/>
  <c r="R188" i="2"/>
  <c r="T188" i="2"/>
  <c r="W186" i="2"/>
  <c r="F186" i="2"/>
  <c r="R184" i="2"/>
  <c r="F182" i="2"/>
  <c r="R180" i="2"/>
  <c r="W178" i="2"/>
  <c r="S178" i="2"/>
  <c r="F178" i="2"/>
  <c r="W174" i="2"/>
  <c r="F174" i="2"/>
  <c r="V172" i="2"/>
  <c r="W172" i="2" s="1"/>
  <c r="S172" i="2"/>
  <c r="R172" i="2"/>
  <c r="V171" i="2"/>
  <c r="W171" i="2" s="1"/>
  <c r="S171" i="2"/>
  <c r="F171" i="2"/>
  <c r="V168" i="2"/>
  <c r="W168" i="2" s="1"/>
  <c r="V167" i="2"/>
  <c r="W167" i="2" s="1"/>
  <c r="S167" i="2"/>
  <c r="F167" i="2"/>
  <c r="W165" i="2"/>
  <c r="R165" i="2"/>
  <c r="W164" i="2"/>
  <c r="S164" i="2"/>
  <c r="F164" i="2"/>
  <c r="V162" i="2"/>
  <c r="W162" i="2" s="1"/>
  <c r="R162" i="2"/>
  <c r="V161" i="2"/>
  <c r="W161" i="2" s="1"/>
  <c r="F161" i="2"/>
  <c r="V159" i="2"/>
  <c r="W159" i="2" s="1"/>
  <c r="R159" i="2"/>
  <c r="W158" i="2"/>
  <c r="F158" i="2"/>
  <c r="V156" i="2"/>
  <c r="W156" i="2" s="1"/>
  <c r="R156" i="2"/>
  <c r="V155" i="2"/>
  <c r="W155" i="2" s="1"/>
  <c r="F155" i="2"/>
  <c r="V153" i="2"/>
  <c r="W153" i="2" s="1"/>
  <c r="R153" i="2"/>
  <c r="V152" i="2"/>
  <c r="W152" i="2" s="1"/>
  <c r="S152" i="2"/>
  <c r="F152" i="2"/>
  <c r="V150" i="2"/>
  <c r="W150" i="2" s="1"/>
  <c r="R150" i="2"/>
  <c r="V149" i="2"/>
  <c r="W149" i="2" s="1"/>
  <c r="S149" i="2"/>
  <c r="F149" i="2"/>
  <c r="V147" i="2"/>
  <c r="W147" i="2" s="1"/>
  <c r="S147" i="2"/>
  <c r="R147" i="2"/>
  <c r="V146" i="2"/>
  <c r="W146" i="2" s="1"/>
  <c r="S146" i="2"/>
  <c r="F146" i="2"/>
  <c r="S144" i="2"/>
  <c r="R144" i="2"/>
  <c r="W143" i="2"/>
  <c r="S143" i="2"/>
  <c r="F143" i="2"/>
  <c r="S141" i="2"/>
  <c r="R141" i="2"/>
  <c r="P141" i="2"/>
  <c r="W140" i="2"/>
  <c r="S140" i="2"/>
  <c r="F140" i="2"/>
  <c r="W138" i="2"/>
  <c r="S138" i="2"/>
  <c r="R138" i="2"/>
  <c r="W137" i="2"/>
  <c r="S137" i="2"/>
  <c r="F137" i="2"/>
  <c r="V135" i="2"/>
  <c r="W135" i="2" s="1"/>
  <c r="R135" i="2"/>
  <c r="S134" i="2"/>
  <c r="F134" i="2"/>
  <c r="V132" i="2"/>
  <c r="W132" i="2" s="1"/>
  <c r="R132" i="2"/>
  <c r="W131" i="2"/>
  <c r="S131" i="2"/>
  <c r="F131" i="2"/>
  <c r="V129" i="2"/>
  <c r="W129" i="2" s="1"/>
  <c r="S129" i="2"/>
  <c r="R129" i="2"/>
  <c r="W128" i="2"/>
  <c r="S128" i="2"/>
  <c r="F128" i="2"/>
  <c r="V126" i="2"/>
  <c r="W126" i="2" s="1"/>
  <c r="R126" i="2"/>
  <c r="V125" i="2"/>
  <c r="W125" i="2" s="1"/>
  <c r="S125" i="2"/>
  <c r="F125" i="2"/>
  <c r="V123" i="2"/>
  <c r="W123" i="2" s="1"/>
  <c r="S123" i="2"/>
  <c r="R123" i="2"/>
  <c r="V122" i="2"/>
  <c r="W122" i="2" s="1"/>
  <c r="S122" i="2"/>
  <c r="F122" i="2"/>
  <c r="M118" i="2"/>
  <c r="N118" i="2" s="1"/>
  <c r="O118" i="2" s="1"/>
  <c r="S118" i="2" s="1"/>
  <c r="T118" i="2" s="1"/>
  <c r="V118" i="2" s="1"/>
  <c r="W118" i="2" s="1"/>
  <c r="K117" i="2"/>
  <c r="M117" i="2" s="1"/>
  <c r="N117" i="2" s="1"/>
  <c r="O117" i="2" s="1"/>
  <c r="P117" i="2" s="1"/>
  <c r="S117" i="2" s="1"/>
  <c r="T117" i="2" s="1"/>
  <c r="V117" i="2" s="1"/>
  <c r="W117" i="2" s="1"/>
  <c r="F117" i="2"/>
  <c r="M114" i="2"/>
  <c r="N114" i="2" s="1"/>
  <c r="O114" i="2" s="1"/>
  <c r="S114" i="2" s="1"/>
  <c r="T114" i="2" s="1"/>
  <c r="V114" i="2" s="1"/>
  <c r="W114" i="2" s="1"/>
  <c r="K113" i="2"/>
  <c r="M113" i="2" s="1"/>
  <c r="N113" i="2" s="1"/>
  <c r="O113" i="2" s="1"/>
  <c r="P113" i="2" s="1"/>
  <c r="S113" i="2" s="1"/>
  <c r="T113" i="2" s="1"/>
  <c r="V113" i="2" s="1"/>
  <c r="W113" i="2" s="1"/>
  <c r="F113" i="2"/>
  <c r="T110" i="2"/>
  <c r="V110" i="2" s="1"/>
  <c r="W110" i="2" s="1"/>
  <c r="W109" i="2"/>
  <c r="F109" i="2"/>
  <c r="W107" i="2"/>
  <c r="R107" i="2"/>
  <c r="W106" i="2"/>
  <c r="F106" i="2"/>
  <c r="R104" i="2"/>
  <c r="W103" i="2"/>
  <c r="F103" i="2"/>
  <c r="R101" i="2"/>
  <c r="W100" i="2"/>
  <c r="F100" i="2"/>
  <c r="R98" i="2"/>
  <c r="O98" i="2"/>
  <c r="W97" i="2"/>
  <c r="F97" i="2"/>
  <c r="V95" i="2"/>
  <c r="W95" i="2" s="1"/>
  <c r="R95" i="2"/>
  <c r="O95" i="2"/>
  <c r="W94" i="2"/>
  <c r="F94" i="2"/>
  <c r="W91" i="2"/>
  <c r="R91" i="2"/>
  <c r="W90" i="2"/>
  <c r="S90" i="2"/>
  <c r="P90" i="2"/>
  <c r="F90" i="2"/>
  <c r="W88" i="2"/>
  <c r="R88" i="2"/>
  <c r="W87" i="2"/>
  <c r="F87" i="2"/>
  <c r="W85" i="2"/>
  <c r="R85" i="2"/>
  <c r="W84" i="2"/>
  <c r="F84" i="2"/>
  <c r="W82" i="2"/>
  <c r="R82" i="2"/>
  <c r="W81" i="2"/>
  <c r="F81" i="2"/>
  <c r="W79" i="2"/>
  <c r="R79" i="2"/>
  <c r="O79" i="2"/>
  <c r="W78" i="2"/>
  <c r="F78" i="2"/>
  <c r="W76" i="2"/>
  <c r="R76" i="2"/>
  <c r="O76" i="2"/>
  <c r="W75" i="2"/>
  <c r="F75" i="2"/>
  <c r="W73" i="2"/>
  <c r="R73" i="2"/>
  <c r="O73" i="2"/>
  <c r="W72" i="2"/>
  <c r="F72" i="2"/>
  <c r="W70" i="2"/>
  <c r="R70" i="2"/>
  <c r="O70" i="2"/>
  <c r="W69" i="2"/>
  <c r="F69" i="2"/>
  <c r="W67" i="2"/>
  <c r="R67" i="2"/>
  <c r="W66" i="2"/>
  <c r="W64" i="2"/>
  <c r="R64" i="2"/>
  <c r="W63" i="2"/>
  <c r="F63" i="2"/>
  <c r="W61" i="2"/>
  <c r="R61" i="2"/>
  <c r="W60" i="2"/>
  <c r="F60" i="2"/>
  <c r="W58" i="2"/>
  <c r="R58" i="2"/>
  <c r="W57" i="2"/>
  <c r="F57" i="2"/>
  <c r="K51" i="2"/>
  <c r="M51" i="2" s="1"/>
  <c r="N51" i="2" s="1"/>
  <c r="O51" i="2" s="1"/>
  <c r="P51" i="2" s="1"/>
  <c r="S51" i="2" s="1"/>
  <c r="T51" i="2" s="1"/>
  <c r="V51" i="2" s="1"/>
  <c r="W51" i="2" s="1"/>
  <c r="F51" i="2"/>
  <c r="T48" i="2"/>
  <c r="V48" i="2" s="1"/>
  <c r="W48" i="2" s="1"/>
  <c r="R48" i="2"/>
  <c r="W47" i="2"/>
  <c r="F47" i="2"/>
  <c r="V45" i="2"/>
  <c r="W45" i="2" s="1"/>
  <c r="R45" i="2"/>
  <c r="P45" i="2"/>
  <c r="W44" i="2"/>
  <c r="F44" i="2"/>
  <c r="W42" i="2"/>
  <c r="R42" i="2"/>
  <c r="V41" i="2"/>
  <c r="W41" i="2" s="1"/>
  <c r="F41" i="2"/>
  <c r="V39" i="2"/>
  <c r="W39" i="2" s="1"/>
  <c r="R39" i="2"/>
  <c r="P39" i="2"/>
  <c r="W38" i="2"/>
  <c r="F38" i="2"/>
  <c r="W35" i="2"/>
  <c r="R35" i="2"/>
  <c r="W34" i="2"/>
  <c r="S34" i="2"/>
  <c r="F34" i="2"/>
  <c r="W32" i="2"/>
  <c r="R32" i="2"/>
  <c r="F31" i="2"/>
  <c r="W29" i="2"/>
  <c r="R29" i="2"/>
  <c r="W28" i="2"/>
  <c r="F28" i="2"/>
  <c r="V26" i="2"/>
  <c r="W26" i="2" s="1"/>
  <c r="R26" i="2"/>
  <c r="W25" i="2"/>
  <c r="F25" i="2"/>
  <c r="W23" i="2"/>
  <c r="S22" i="2"/>
  <c r="R20" i="2"/>
  <c r="S19" i="2"/>
  <c r="R17" i="2"/>
  <c r="W14" i="2"/>
  <c r="R14" i="2"/>
  <c r="S13" i="2"/>
  <c r="W11" i="2"/>
  <c r="Y10" i="2"/>
  <c r="S10" i="2"/>
  <c r="R45" i="1"/>
  <c r="T43" i="1"/>
  <c r="V43" i="1" s="1"/>
  <c r="W43" i="1" s="1"/>
  <c r="E43" i="1"/>
  <c r="S41" i="1"/>
  <c r="R41" i="1"/>
  <c r="E40" i="1"/>
  <c r="V38" i="1"/>
  <c r="W38" i="1" s="1"/>
  <c r="R38" i="1"/>
  <c r="S35" i="1"/>
  <c r="R35" i="1"/>
  <c r="E34" i="1"/>
  <c r="E27" i="1"/>
  <c r="E24" i="1"/>
  <c r="R22" i="1"/>
  <c r="N22" i="1"/>
  <c r="E20" i="1"/>
  <c r="R18" i="1"/>
  <c r="V16" i="1"/>
  <c r="W16" i="1" s="1"/>
  <c r="E15" i="1"/>
  <c r="R13" i="1"/>
  <c r="E12" i="1"/>
  <c r="V10" i="1"/>
  <c r="W10" i="1" s="1"/>
  <c r="E9" i="1"/>
  <c r="U28" i="7" l="1"/>
  <c r="V28" i="7" s="1"/>
  <c r="T28" i="7"/>
  <c r="V182" i="2"/>
  <c r="W182" i="2" s="1"/>
  <c r="E33" i="6"/>
  <c r="Z33" i="6"/>
  <c r="D66" i="4"/>
  <c r="S17" i="6"/>
  <c r="T17" i="6" s="1"/>
  <c r="W17" i="6" s="1"/>
  <c r="X17" i="6" s="1"/>
  <c r="AA17" i="6" s="1"/>
  <c r="AB17" i="6" s="1"/>
  <c r="AD17" i="6" s="1"/>
  <c r="AE17" i="6" s="1"/>
  <c r="AF17" i="6" s="1"/>
  <c r="R17" i="6"/>
  <c r="S21" i="6"/>
  <c r="T21" i="6" s="1"/>
  <c r="W21" i="6" s="1"/>
  <c r="X21" i="6" s="1"/>
  <c r="AA21" i="6" s="1"/>
  <c r="AB21" i="6" s="1"/>
  <c r="AD21" i="6" s="1"/>
  <c r="AE21" i="6" s="1"/>
  <c r="AF21" i="6" s="1"/>
  <c r="R21" i="6"/>
  <c r="W10" i="12"/>
  <c r="U10" i="12"/>
  <c r="V10" i="12" s="1"/>
  <c r="R25" i="1"/>
  <c r="D37" i="7"/>
  <c r="F102" i="8"/>
  <c r="X15" i="8"/>
  <c r="X65" i="8"/>
  <c r="X71" i="8"/>
  <c r="X90" i="8"/>
  <c r="W79" i="8"/>
  <c r="K11" i="9"/>
  <c r="L11" i="9" s="1"/>
  <c r="M11" i="9" s="1"/>
  <c r="L29" i="8"/>
  <c r="K29" i="8" s="1"/>
  <c r="J29" i="8" s="1"/>
  <c r="D50" i="3"/>
  <c r="AB44" i="3"/>
  <c r="T447" i="2"/>
  <c r="V447" i="2" s="1"/>
  <c r="W447" i="2" s="1"/>
  <c r="T459" i="2"/>
  <c r="V459" i="2" s="1"/>
  <c r="W459" i="2" s="1"/>
  <c r="P114" i="2"/>
  <c r="V187" i="2"/>
  <c r="W187" i="2" s="1"/>
  <c r="K118" i="2"/>
  <c r="P118" i="2"/>
  <c r="T10" i="9"/>
  <c r="W10" i="9"/>
  <c r="X10" i="9" s="1"/>
  <c r="Y10" i="9" s="1"/>
  <c r="AA10" i="9" s="1"/>
  <c r="AB10" i="9" s="1"/>
  <c r="AD10" i="9" s="1"/>
  <c r="AE10" i="9" s="1"/>
  <c r="AF10" i="9" s="1"/>
  <c r="E14" i="9"/>
  <c r="X34" i="8"/>
  <c r="X40" i="8"/>
  <c r="X46" i="8"/>
  <c r="X55" i="8"/>
  <c r="X78" i="8"/>
  <c r="X93" i="8"/>
  <c r="O10" i="4"/>
  <c r="R10" i="4" s="1"/>
  <c r="S10" i="4" s="1"/>
  <c r="T10" i="4" s="1"/>
  <c r="U10" i="4" s="1"/>
  <c r="V10" i="4" s="1"/>
  <c r="M14" i="4"/>
  <c r="M18" i="4"/>
  <c r="N18" i="4" s="1"/>
  <c r="O18" i="4" s="1"/>
  <c r="R18" i="4" s="1"/>
  <c r="S18" i="4" s="1"/>
  <c r="T18" i="4" s="1"/>
  <c r="U18" i="4" s="1"/>
  <c r="V18" i="4" s="1"/>
  <c r="N14" i="4" l="1"/>
  <c r="O14" i="4" s="1"/>
  <c r="R14" i="4" s="1"/>
  <c r="S14" i="4" s="1"/>
  <c r="T14" i="4" s="1"/>
  <c r="U14" i="4" s="1"/>
  <c r="V14" i="4" s="1"/>
  <c r="X102" i="8"/>
  <c r="O11" i="9"/>
  <c r="P11" i="9" s="1"/>
  <c r="Q11" i="9" s="1"/>
  <c r="S11" i="9" s="1"/>
  <c r="T11" i="9" s="1"/>
  <c r="W11" i="9" s="1"/>
  <c r="X11" i="9" s="1"/>
  <c r="AA11" i="9" s="1"/>
  <c r="AB11" i="9" s="1"/>
  <c r="AD11" i="9" s="1"/>
  <c r="AE11" i="9" s="1"/>
  <c r="AF11" i="9" s="1"/>
  <c r="S182" i="2"/>
  <c r="P399" i="2"/>
  <c r="S399" i="2" s="1"/>
  <c r="T399" i="2" s="1"/>
  <c r="V399" i="2" s="1"/>
  <c r="W399" i="2" s="1"/>
  <c r="P395" i="2"/>
  <c r="S395" i="2" s="1"/>
  <c r="T395" i="2" s="1"/>
  <c r="V395" i="2" s="1"/>
  <c r="W395" i="2" s="1"/>
  <c r="S186" i="2" l="1"/>
  <c r="S190" i="2" l="1"/>
  <c r="S194" i="2" l="1"/>
  <c r="S198" i="2" l="1"/>
  <c r="S202" i="2" l="1"/>
  <c r="S206" i="2" l="1"/>
  <c r="S210" i="2" l="1"/>
  <c r="S215" i="2" l="1"/>
  <c r="S220" i="2" l="1"/>
</calcChain>
</file>

<file path=xl/comments1.xml><?xml version="1.0" encoding="utf-8"?>
<comments xmlns="http://schemas.openxmlformats.org/spreadsheetml/2006/main">
  <authors>
    <author>P.Off</author>
    <author>user</author>
  </authors>
  <commentList>
    <comment ref="K6" authorId="0">
      <text>
        <r>
          <rPr>
            <b/>
            <sz val="8"/>
            <color indexed="81"/>
            <rFont val="Tahoma"/>
            <family val="2"/>
          </rPr>
          <t>P.Off:</t>
        </r>
        <r>
          <rPr>
            <sz val="8"/>
            <color indexed="81"/>
            <rFont val="Tahoma"/>
            <family val="2"/>
          </rPr>
          <t xml:space="preserve">
No Duration is required for no-objection!
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>P.Off:</t>
        </r>
        <r>
          <rPr>
            <sz val="8"/>
            <color indexed="81"/>
            <rFont val="Tahoma"/>
            <family val="2"/>
          </rPr>
          <t xml:space="preserve">
Why is this column completely ommitted?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P.Off:</t>
        </r>
        <r>
          <rPr>
            <sz val="8"/>
            <color indexed="81"/>
            <rFont val="Tahoma"/>
            <family val="2"/>
          </rPr>
          <t xml:space="preserve">
No Duration is required for no-objection!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+ Ilasa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Additional well drilled in Cheliya
</t>
        </r>
      </text>
    </comment>
    <comment ref="A38" authorId="1">
      <text>
        <r>
          <rPr>
            <b/>
            <sz val="8"/>
            <color indexed="81"/>
            <rFont val="Tahoma"/>
            <family val="2"/>
          </rPr>
          <t>Original contract 9 (6 Rural +3urban) dw, additional 2 Dw Dhidhesa 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4" authorId="1">
      <text>
        <r>
          <rPr>
            <b/>
            <sz val="8"/>
            <color indexed="81"/>
            <rFont val="Tahoma"/>
            <family val="2"/>
          </rPr>
          <t xml:space="preserve"> original contract 9 but one additional well Sebeta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1">
      <text>
        <r>
          <rPr>
            <b/>
            <sz val="8"/>
            <color indexed="81"/>
            <rFont val="Tahoma"/>
            <family val="2"/>
          </rPr>
          <t>Same contract with 4 deep &amp; 3 Shallow wells, repeatedly rebided, NDE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5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Arengema and Gurra additional</t>
        </r>
      </text>
    </comment>
    <comment ref="A109" authorId="1">
      <text>
        <r>
          <rPr>
            <b/>
            <sz val="8"/>
            <color indexed="81"/>
            <rFont val="Tahoma"/>
            <family val="2"/>
          </rPr>
          <t>Same contract with 4 deep &amp; 3 Shallow wells, repeatedly rebided, NDE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18" authorId="0">
      <text>
        <r>
          <rPr>
            <b/>
            <sz val="8"/>
            <color indexed="81"/>
            <rFont val="Tahoma"/>
            <family val="2"/>
          </rPr>
          <t>P.Off:</t>
        </r>
        <r>
          <rPr>
            <sz val="8"/>
            <color indexed="81"/>
            <rFont val="Tahoma"/>
            <family val="2"/>
          </rPr>
          <t xml:space="preserve">
The project closing date of March 31, 2013 should be observed!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Ali, Bake,Busa, Getema, Kombolcha, Solomo,  &amp; Olonkomi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Bokoji, Bure, Dabaso, Guliso, Hirna, Surupha, Megado, Yanfa, Olankomi, Hirna, Solomo, Beke, Kombolcha, 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Beke, Guliso, Hirna, Olenkomi, Debeso, Bure, Bokoji, </t>
        </r>
      </text>
    </comment>
    <comment ref="A24" authorId="0">
      <text>
        <r>
          <rPr>
            <sz val="8"/>
            <color indexed="81"/>
            <rFont val="Tahoma"/>
            <family val="2"/>
          </rPr>
          <t>Beke, Guliso, Hirna, Olenkomi, Debeso, Bure, Bokoji, Megado, Surupha, Atnago, Babu, Kombolcha, Dilela, Busa,Yanfa,Getema, Solomo, Toba, Segno Gebeya, Ali, Ejere, Babile, Kobo, Dhera, towns not included are Melka Rafu, Dilo, Goljota, Delomene</t>
        </r>
      </text>
    </comment>
    <comment ref="A28" authorId="0">
      <text>
        <r>
          <rPr>
            <sz val="8"/>
            <color indexed="81"/>
            <rFont val="Tahoma"/>
            <family val="2"/>
          </rPr>
          <t xml:space="preserve">Beke, Guliso, Hirna, Olenkomi, Debeso, Bure, Bokoji, Megado, Surupha, Atnago, Babu, Kombolcha, Dilela, Busa,Yanfa,Getema, Solomo, Toba, Segno Gebeya, Ali, Ejere, Babile, Kobo, Dhera, towns not included are Melka Rafu, Dilo, Goljota, Delomene
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Beke, Guliso, Hirna, Olenkomi, Debeso, Bure, Bokoji, </t>
        </r>
      </text>
    </comment>
  </commentList>
</comments>
</file>

<file path=xl/sharedStrings.xml><?xml version="1.0" encoding="utf-8"?>
<sst xmlns="http://schemas.openxmlformats.org/spreadsheetml/2006/main" count="3513" uniqueCount="807">
  <si>
    <t>Procurement of Goods</t>
  </si>
  <si>
    <t>Organisation:</t>
  </si>
  <si>
    <t>Oromia Water Resources Bureau</t>
  </si>
  <si>
    <t xml:space="preserve">Project/Programme: </t>
  </si>
  <si>
    <t>MDTF (IDA/DFID)</t>
  </si>
  <si>
    <t>REVISED!!</t>
  </si>
  <si>
    <t>Loan #:</t>
  </si>
  <si>
    <t>S. No</t>
  </si>
  <si>
    <t>Description*</t>
  </si>
  <si>
    <t>BASIC DATA</t>
  </si>
  <si>
    <t>Procurement Method</t>
  </si>
  <si>
    <t>Pre-or Post Qual.</t>
  </si>
  <si>
    <t>Prior or Post Review</t>
  </si>
  <si>
    <t>Plan vs. Actual</t>
  </si>
  <si>
    <t>Draft Bid Documents, including specs and quantities, draft SPN</t>
  </si>
  <si>
    <t>Spec Proc Notice
Advert</t>
  </si>
  <si>
    <t>Bidding Period</t>
  </si>
  <si>
    <t>Bid Evaluation</t>
  </si>
  <si>
    <t>Contract Finalization</t>
  </si>
  <si>
    <t>Date
Contract
Signature</t>
  </si>
  <si>
    <t>Contract Implementation</t>
  </si>
  <si>
    <t>Package
Number</t>
  </si>
  <si>
    <t>Lot
Number</t>
  </si>
  <si>
    <t>Estimated Amount in US $</t>
  </si>
  <si>
    <t>Prep &amp; Submission
by Ex Agency</t>
  </si>
  <si>
    <t>No-objection
Date</t>
  </si>
  <si>
    <t>On-line UNDB
Gateway
National  Press</t>
  </si>
  <si>
    <t>Bid Invitation Date</t>
  </si>
  <si>
    <t>Bid Closing-Opening</t>
  </si>
  <si>
    <t>Submission
Bid Eval Rpt</t>
  </si>
  <si>
    <t>Contract Amount in US$</t>
  </si>
  <si>
    <t>Date
Contract
Award</t>
  </si>
  <si>
    <t>Opening
of 
Let of Credit</t>
  </si>
  <si>
    <t>Arrival
of
Goods</t>
  </si>
  <si>
    <t>Inspection
Final
Acceptance</t>
  </si>
  <si>
    <t>List of Contracts</t>
  </si>
  <si>
    <t>A</t>
  </si>
  <si>
    <t xml:space="preserve">Regional Level </t>
  </si>
  <si>
    <t>1</t>
  </si>
  <si>
    <t>Procurement of 38 Generators</t>
  </si>
  <si>
    <t>NCB</t>
  </si>
  <si>
    <t xml:space="preserve"> Post </t>
  </si>
  <si>
    <t>post</t>
  </si>
  <si>
    <t>Plan</t>
  </si>
  <si>
    <t>Actual</t>
  </si>
  <si>
    <t>2</t>
  </si>
  <si>
    <t>Procurement of 41 Submersible/Surface Pumps</t>
  </si>
  <si>
    <t>Procurement of 34 Generators</t>
  </si>
  <si>
    <t>Rev. Plan</t>
  </si>
  <si>
    <t>Rev.plan</t>
  </si>
  <si>
    <t>Revised</t>
  </si>
  <si>
    <t>Procurement of 40 Submersible/Surface Pumps</t>
  </si>
  <si>
    <t>OWRB/EME/ MDTF/02/2010- Lot 2</t>
  </si>
  <si>
    <t>Office furnitures and equipments</t>
  </si>
  <si>
    <t xml:space="preserve"> NS </t>
  </si>
  <si>
    <t>Procurment of surveying equipment (2 total station)</t>
  </si>
  <si>
    <t>Office furnitures &amp; equipments</t>
  </si>
  <si>
    <t>Pocket GPS (84 units)</t>
  </si>
  <si>
    <t xml:space="preserve"> NCB </t>
  </si>
  <si>
    <t>Hand Pumps (400)</t>
  </si>
  <si>
    <t>3</t>
  </si>
  <si>
    <t>Water Qaulity Test Kits (84 units)</t>
  </si>
  <si>
    <t>OWRB/MDTF/WQTK/06/2010</t>
  </si>
  <si>
    <t>4</t>
  </si>
  <si>
    <t>Maintenance Tool Kits (Pipe Wrench, Cutter, Treader, …etc) 84 sets</t>
  </si>
  <si>
    <t>OWRB/MDTF/MTK/05/2010</t>
  </si>
  <si>
    <t>Procurement Plan Works</t>
  </si>
  <si>
    <r>
      <rPr>
        <sz val="10"/>
        <rFont val="Book Antiqua"/>
        <family val="1"/>
      </rPr>
      <t>Country/Organization:</t>
    </r>
    <r>
      <rPr>
        <u/>
        <sz val="10"/>
        <rFont val="Book Antiqua"/>
        <family val="1"/>
      </rPr>
      <t xml:space="preserve"> Oromia National Rgional State Water, Mineral &amp; Energy Bureau</t>
    </r>
  </si>
  <si>
    <t>1USD=</t>
  </si>
  <si>
    <t>17.3499</t>
  </si>
  <si>
    <t>birr</t>
  </si>
  <si>
    <r>
      <rPr>
        <sz val="10"/>
        <rFont val="Book Antiqua"/>
        <family val="1"/>
      </rPr>
      <t xml:space="preserve">Project/Programmed: </t>
    </r>
    <r>
      <rPr>
        <u/>
        <sz val="10"/>
        <rFont val="Book Antiqua"/>
        <family val="1"/>
      </rPr>
      <t>IDA-DFID (MDTF)</t>
    </r>
  </si>
  <si>
    <t>REVISED!!!</t>
  </si>
  <si>
    <t>Basic Data</t>
  </si>
  <si>
    <t>Lump sum or Bill of Quantities</t>
  </si>
  <si>
    <t>Estimated Amount in
US $</t>
  </si>
  <si>
    <t>Pre/Post Qualification</t>
  </si>
  <si>
    <t>On-line UNDB
Gateway
National Press</t>
  </si>
  <si>
    <t>Mobilization
Advance
Payment</t>
  </si>
  <si>
    <t>Substantial
Completion</t>
  </si>
  <si>
    <t>Final
Acceptance</t>
  </si>
  <si>
    <t>Final
Cost</t>
  </si>
  <si>
    <t>A. Completed projects (26 DWs)</t>
  </si>
  <si>
    <t>4 - 7 wks</t>
  </si>
  <si>
    <t>1 - 1.5 wks</t>
  </si>
  <si>
    <t>1.5 - 2 wks</t>
  </si>
  <si>
    <t>6 to</t>
  </si>
  <si>
    <t>12 wks</t>
  </si>
  <si>
    <t>1.5 - 3 wks</t>
  </si>
  <si>
    <t>1 wk</t>
  </si>
  <si>
    <t>1.5-3 wks</t>
  </si>
  <si>
    <t>Drilling of 6 deep wells (Borena &amp; Guji)</t>
  </si>
  <si>
    <t>ORWB/MDTF/DW/001/ 2008</t>
  </si>
  <si>
    <t>BOQ</t>
  </si>
  <si>
    <t>Post</t>
  </si>
  <si>
    <t>07-Oct-09</t>
  </si>
  <si>
    <t>Drilling of 2 deep wells (East &amp; West Hararge)</t>
  </si>
  <si>
    <t>ORWB/MDTF/DW/002/ 2008</t>
  </si>
  <si>
    <t xml:space="preserve"> </t>
  </si>
  <si>
    <t>7-Oct-10</t>
  </si>
  <si>
    <t>Drilling of 5 deep wells (S.W Showa &amp; E/Wollega)</t>
  </si>
  <si>
    <t>ORWB/MDTF/RDW/001/ 2009</t>
  </si>
  <si>
    <t>Drilling of 4 Deep wells (Arsi &amp; Bale)</t>
  </si>
  <si>
    <t>Drilling of one deep well in Akaki (Abasamu'el)</t>
  </si>
  <si>
    <t>ORWB/MDTF/DW/001/ 2007</t>
  </si>
  <si>
    <t>Drilling of 3 deep wells (W/Shoa, Nono &amp; Chelia)</t>
  </si>
  <si>
    <t>OWRB/MDTF/DW/04/1/ 2010</t>
  </si>
  <si>
    <t>6-Dec-10</t>
  </si>
  <si>
    <t>Drilling of 2 deep wells (Guji)</t>
  </si>
  <si>
    <t>OWRB/MDTF/DW/06/1/2/ 2010</t>
  </si>
  <si>
    <t>27-May-11</t>
  </si>
  <si>
    <t>22-Sep-11</t>
  </si>
  <si>
    <t>Drilling of 1 deep well ( W/ Wellega, Kiltu Kara)</t>
  </si>
  <si>
    <t>OWRB/MDTF/DW/01/1/2010</t>
  </si>
  <si>
    <t>23-May-11</t>
  </si>
  <si>
    <t>28-Jun-11</t>
  </si>
  <si>
    <t>Drilling of 2 deep  wells  (Jimma &amp; West Wellega)</t>
  </si>
  <si>
    <t>OWRB/MDTF/DW&amp;SW/ 01/ 2008</t>
  </si>
  <si>
    <t>07-May-09</t>
  </si>
  <si>
    <t>B. Ongoing projects (30 DWs)</t>
  </si>
  <si>
    <t>Drilling of 8 deep wells (Ilu Aba Bora &amp; Jima)</t>
  </si>
  <si>
    <t>OWRB/MDTF/DW/02/ 2/2010</t>
  </si>
  <si>
    <t>Jan25,11</t>
  </si>
  <si>
    <t>30-Jun-11</t>
  </si>
  <si>
    <t>Drilling of 8 deep wells (Borena)</t>
  </si>
  <si>
    <t>OWRB/MDTF/DW/06/1/1/ 2010</t>
  </si>
  <si>
    <t>15-Aug-11</t>
  </si>
  <si>
    <t>01-Sep-11</t>
  </si>
  <si>
    <t>Drilling of 10 deep wells (N/Shoa, W/Shoa, SW/Shoa)</t>
  </si>
  <si>
    <t>OWRB/MDTF/DW/04/2/ 2010</t>
  </si>
  <si>
    <t>Drilling of 4 deep ( &amp; shallow) wells (W/Hararge &amp; E/Hararge)</t>
  </si>
  <si>
    <t>OWRB/MDTF/DW/02/3/ 2010</t>
  </si>
  <si>
    <t>20-Jan-11</t>
  </si>
  <si>
    <t>25-Jan-11</t>
  </si>
  <si>
    <t>01-Dec.11</t>
  </si>
  <si>
    <t>28-Dec-11</t>
  </si>
  <si>
    <t>03-Feb-12</t>
  </si>
  <si>
    <t>C. New (4DW)</t>
  </si>
  <si>
    <t xml:space="preserve">Drilling of 4 deep wells </t>
  </si>
  <si>
    <t>OWRB/MDTF/DW/01/2012</t>
  </si>
  <si>
    <t xml:space="preserve">II. Shallow  Wells drilling &amp; construction (270 SHW)   </t>
  </si>
  <si>
    <t>A. Completed projects (163 SHWs)</t>
  </si>
  <si>
    <t>Drilling of 10 Shallow wells (IluAba Bora, Jima)</t>
  </si>
  <si>
    <t>OWRB/MDTF/SHW/01/1/ 2010</t>
  </si>
  <si>
    <t>Drilling of 12 Shallow wells (Guji; Odo Shakiso)</t>
  </si>
  <si>
    <t>OWRB/MDTF/SHW/03/2/2010</t>
  </si>
  <si>
    <t>Drilling of 9 Shallow wells (Guji; Girja, Dama)</t>
  </si>
  <si>
    <t>OWRB/MDTF/SHW/03/4 2010</t>
  </si>
  <si>
    <t>Drilling of 7 shallow wells (Bako &amp; Mida Kegn)</t>
  </si>
  <si>
    <t>OWRB/MDTF/DW&amp;SW/01/2008</t>
  </si>
  <si>
    <t>07-may-09</t>
  </si>
  <si>
    <t>Drilling of 18 Shallow wells ( South West Shoa, Woliso)</t>
  </si>
  <si>
    <t>OWRB/MDTF/SHW/06/2/ 2010</t>
  </si>
  <si>
    <t>9-Jun-11</t>
  </si>
  <si>
    <t>14-Jul-11</t>
  </si>
  <si>
    <t>Drilling of 18 Shallow wells ( SW/ West Shoa, Ameya)</t>
  </si>
  <si>
    <t>OWRB/MDTF/SHW/06/1 2010</t>
  </si>
  <si>
    <t>Drilling of 23 Shallow wells (I/A/Bora, Jima)</t>
  </si>
  <si>
    <t>OWRB/MDTF/SHW/01/2/ 2010</t>
  </si>
  <si>
    <t>Drilling of 20 Shallow wells (West Shoa; Nono)</t>
  </si>
  <si>
    <t>OWRB/MDTF/SHW/09/2/ 2010</t>
  </si>
  <si>
    <t>24-May-11</t>
  </si>
  <si>
    <t>09-Jun-11</t>
  </si>
  <si>
    <t>Drilling of 13 Shallow wells (Guji - Liban, Adola &amp; Wadera)</t>
  </si>
  <si>
    <t>OWRB/MDTF/SHW/03/1 /2010</t>
  </si>
  <si>
    <t>Drilling of 21 Shallow wells (Mulo, Degem, Berek, Gimbichu, Aleltu)</t>
  </si>
  <si>
    <t>OWRB/MDTF/SHW/05/1/ 2010</t>
  </si>
  <si>
    <t>Drilling of 9 Shallow wells (Borena- Moyale, D/Dawa, B/Hora, Arero, Abaya)</t>
  </si>
  <si>
    <t>OWRB/MDTF/SHW/03/3/2010</t>
  </si>
  <si>
    <t>Drilling of 3 shallow wells  (Jimma, E &amp; W Wellega)</t>
  </si>
  <si>
    <t>B.Ongoing (85 shallow Wells)</t>
  </si>
  <si>
    <t>Drilling of 20 Shallow wells ( South West Shoa; Goro, Wonchi &amp; Tole)</t>
  </si>
  <si>
    <t>OWRB/MDTF/SHW/06/3/2010</t>
  </si>
  <si>
    <t>Drilling of 19 Shallow wells (North Shoa &amp; west Shoa, OSZSF)</t>
  </si>
  <si>
    <t>OWRB/MDTF/SHW/05/2/ 2010</t>
  </si>
  <si>
    <t>22-Jun-11</t>
  </si>
  <si>
    <t>Drilling of 10 Shallow wells (W/Arsi &amp; Bale)</t>
  </si>
  <si>
    <t>OWRB/MDTF/SHW/02/1/ 2010</t>
  </si>
  <si>
    <t>Drilling of 20 Shallow wells (East &amp; West Wollega)</t>
  </si>
  <si>
    <t>OWRB/MDTF/SHW/07/1/2010</t>
  </si>
  <si>
    <t>Drilling of 13 Shallow wells (West Shoa, E/Wollega)</t>
  </si>
  <si>
    <t>OWRB/MDTF/SHW/09/1/ 2010</t>
  </si>
  <si>
    <t>Drilling of (deep &amp;) 3 shallow wells (W/Hararge &amp; E/Hararge)</t>
  </si>
  <si>
    <t>C.New projects (22 shallow Wells)</t>
  </si>
  <si>
    <t xml:space="preserve">Drilling of 10 Shallow wells </t>
  </si>
  <si>
    <t>OWMEB/MDTF/SHW/01/ 2012</t>
  </si>
  <si>
    <t>7/14/2012</t>
  </si>
  <si>
    <t xml:space="preserve">Drilling of 12 Shallow wells </t>
  </si>
  <si>
    <t>OWMEB/MDTF/SHW/02/ 2012</t>
  </si>
  <si>
    <t>A. Completed Projects (17 RPS)</t>
  </si>
  <si>
    <t>Hopha (Geba Arba) water supply projects</t>
  </si>
  <si>
    <t>OWRB/CWC/002/1/39/2007</t>
  </si>
  <si>
    <t>-</t>
  </si>
  <si>
    <t>Koma &amp; Gishe Luchine water supply projects</t>
  </si>
  <si>
    <t>OWRB/CWC/MDTF/001/1/2008</t>
  </si>
  <si>
    <t>Debel  water supply project</t>
  </si>
  <si>
    <t>OWRB/CWC/MDTF/001/2/2008</t>
  </si>
  <si>
    <t>Anfera water supply project</t>
  </si>
  <si>
    <t>OWRB/MDTF/CWC/01/3/ 2008</t>
  </si>
  <si>
    <t>Hidha Korma water supply project</t>
  </si>
  <si>
    <t>OWRB/CWC/MDTF/001/5/ 2008</t>
  </si>
  <si>
    <t>Wayu water supply project</t>
  </si>
  <si>
    <t>OWRB/MDTF/CWC/01/3/ 2009</t>
  </si>
  <si>
    <t>Halako Wabe water supply project</t>
  </si>
  <si>
    <t>OWRB/MDTF/CWC/01/7/ 2009</t>
  </si>
  <si>
    <t>Bole Roge water supply project</t>
  </si>
  <si>
    <t>OWRB/MDTF/CWC/01/08/ 2009</t>
  </si>
  <si>
    <t>Damu Dhinbiba water supply project</t>
  </si>
  <si>
    <t>OWRB/MDTF/CWC/01/9/ 2009</t>
  </si>
  <si>
    <t>Kelo Water Supply project</t>
  </si>
  <si>
    <t>ORWRB/MDTF/CWC/007/2009</t>
  </si>
  <si>
    <t>Gaba Robi Water Supply project</t>
  </si>
  <si>
    <t>ORWRB/MDTF/CWC/006/2009</t>
  </si>
  <si>
    <t>Fulo Romso WSP (Borena, Dire)</t>
  </si>
  <si>
    <t>OWRB/MDTF/RPS/03/ 2010</t>
  </si>
  <si>
    <t>Lege Sure WSP (Borena; Moyale)</t>
  </si>
  <si>
    <t>OWRB/MDTF/RPS/63/2010</t>
  </si>
  <si>
    <t>Dheru Denfile WSP (Borena; Dugda Dawa)</t>
  </si>
  <si>
    <t>OWRB/MDTF/RPS/65/2010</t>
  </si>
  <si>
    <t>Lencha Lajo water supply project</t>
  </si>
  <si>
    <t>OWRB/MDTF/CWC/01/11/ 2009</t>
  </si>
  <si>
    <t>Tusha supply project</t>
  </si>
  <si>
    <t>ORWRB/MDTF/CWC/009/2009</t>
  </si>
  <si>
    <t>B. On going projects (110 RPS)</t>
  </si>
  <si>
    <t>Jarso Silase water supply projects</t>
  </si>
  <si>
    <t>OWRB/CWC/002/1/2007</t>
  </si>
  <si>
    <t>Revised plan</t>
  </si>
  <si>
    <t>Goda Arba &amp; Ilala Jeba water supply projects</t>
  </si>
  <si>
    <t>OWRB/CWC/MDTF/001/4/2008</t>
  </si>
  <si>
    <t>Geba Gudina water supply projects</t>
  </si>
  <si>
    <t>OWRB/MDTF/CWC/001/5/2008</t>
  </si>
  <si>
    <t>Mariga Abeyi water supply project</t>
  </si>
  <si>
    <t>OWRB/MDTF/CWC/01/1/ 2009</t>
  </si>
  <si>
    <t>30-Feb-12</t>
  </si>
  <si>
    <t>Bili Malima water supply project</t>
  </si>
  <si>
    <t>OWRB/MDTF/CWC/01/2/ 2009</t>
  </si>
  <si>
    <t>Haro Kono water supply project</t>
  </si>
  <si>
    <t>Didibe Abado water supply project</t>
  </si>
  <si>
    <t>OWRB/MDTF/CWC/01/6/ 2009</t>
  </si>
  <si>
    <t>Obenso Jello</t>
  </si>
  <si>
    <t>ORWRB/MDTF/CWC/001/2009</t>
  </si>
  <si>
    <t>Tulu Hofi supply project</t>
  </si>
  <si>
    <t>ORWRB/MDTF/CWC/002/2009</t>
  </si>
  <si>
    <t>Garbi Goba supply project</t>
  </si>
  <si>
    <t>ORWRB/MDTF/CWC/003/2009</t>
  </si>
  <si>
    <t>Soka supply project</t>
  </si>
  <si>
    <t>ORWRB/MDTF/CWC/004/2009</t>
  </si>
  <si>
    <t>Sefera Dayu supply project</t>
  </si>
  <si>
    <t>ORWRB/MDTF/CWC/005/2009</t>
  </si>
  <si>
    <t>Bola Roge supply project</t>
  </si>
  <si>
    <t>ORWRB/MDTF/CWC/008/2009</t>
  </si>
  <si>
    <t>Abasamu'el water supply project</t>
  </si>
  <si>
    <t>OWRB/MDTF/RPS/01/ 2010</t>
  </si>
  <si>
    <t>Kufa Kas water supply project</t>
  </si>
  <si>
    <t>OWRB/MDTF/RPS/02/ 2010</t>
  </si>
  <si>
    <t>Haleyo, Guro gudo &amp; Jallo</t>
  </si>
  <si>
    <t>OWRB/CWC/MDTF/04/ 2010</t>
  </si>
  <si>
    <t>Hinde WSP (East Wollega; Ebantu)</t>
  </si>
  <si>
    <t>OWRB/MDTF/RPS/15/2010</t>
  </si>
  <si>
    <t>Korke WSP  ( South West Shoa, Weliso)</t>
  </si>
  <si>
    <t>OWRB/MDTF/RPS/20/2010</t>
  </si>
  <si>
    <t>Sombo-Disasa &amp; Fechase WSPs  ( West Shoa, Bako-Tibe)</t>
  </si>
  <si>
    <t>OWRB/MDTF/RPS/22/2010</t>
  </si>
  <si>
    <t>Tose &amp; Goben WSPs  ( West Shoa, Cheliya)</t>
  </si>
  <si>
    <t>OWRB/MDTF/RPS/23/2010</t>
  </si>
  <si>
    <t>Chimo Negelle WSP (Arsi, Sude)</t>
  </si>
  <si>
    <t>OWRB/MDTF/RPS/55/2010</t>
  </si>
  <si>
    <t>Tedecha/Teji WSP (Arsi, Amigna)</t>
  </si>
  <si>
    <t>OWRB/MDTF/RPS/56/2010</t>
  </si>
  <si>
    <t>Wacho Mishirge WSP (Bale; Goba)</t>
  </si>
  <si>
    <t>OWRB/MDTF/RPS/57/2010</t>
  </si>
  <si>
    <t>Hache WSP (Borena; Bule Hora)</t>
  </si>
  <si>
    <t>OWRB/MDTF/RPS/64/2010</t>
  </si>
  <si>
    <t>Buro Fincha'a WSP (OSZSF; Sebeta-Hawas)</t>
  </si>
  <si>
    <t>OWMEB/MDTF/RPS/53/2010</t>
  </si>
  <si>
    <t>Abebe Silase WSP (SW/Shoa; Tole)</t>
  </si>
  <si>
    <t>OWMEB/MDTF/RPS/48/2010</t>
  </si>
  <si>
    <t>Abado Lemen WSP (SW/Shoa; Weliso)</t>
  </si>
  <si>
    <t>OWMEB/MDTF/RPS/49/2010</t>
  </si>
  <si>
    <t>Hereri/Terara WSP (West Shoa; Abuna Gindeberet)</t>
  </si>
  <si>
    <t>OWMEB/MDTF/RPS/24/2010</t>
  </si>
  <si>
    <t>Chando WSP (W/Shoa; Nono)</t>
  </si>
  <si>
    <t>OWMEB/MDTF/RPS/50/2010</t>
  </si>
  <si>
    <t>Wine  WSP (W/Shoa; Tikur Inchini)</t>
  </si>
  <si>
    <t>OWMEB/MDTF/RPS/51/2010</t>
  </si>
  <si>
    <t>Wakene  WSP (N/Shoa; Debre Libanos)</t>
  </si>
  <si>
    <t>OWMEB/MDTF/RPS/52/2010</t>
  </si>
  <si>
    <t>Setema WSP (Jima; Setema)</t>
  </si>
  <si>
    <t>OWMEB/MDTF/RPS/26/2010</t>
  </si>
  <si>
    <t>Addis Limat WSP (Jima; Limu Kosa)</t>
  </si>
  <si>
    <t>OWMEB/MDTF/RPS/27/2010</t>
  </si>
  <si>
    <t>Mote WSP ( East Wollega, Wama Haglo)</t>
  </si>
  <si>
    <t>OWMEB/MDTF/RPS/16/2010</t>
  </si>
  <si>
    <t>Jangir WSP ( East Wollega; Gida Ayana)</t>
  </si>
  <si>
    <t>OWMEB/MDTF/RPS/17/2010</t>
  </si>
  <si>
    <t>Geba Defino WSP ( West Wollega; Kondala)</t>
  </si>
  <si>
    <t>OWMEB/MDTF/RPS/18/2/2010</t>
  </si>
  <si>
    <t>Wama Tobera WSP ( West Wollega; Menesibu)</t>
  </si>
  <si>
    <t>OWMEB/MDTF/RPS/18/1/2010</t>
  </si>
  <si>
    <t>Nunu WSP ( Kellem Wollega; Jima Horo)</t>
  </si>
  <si>
    <t>OWMEB/MDTF/RPS/19/1/2011</t>
  </si>
  <si>
    <t>Gorayi WSP ( Kellem Wollega; Gidami)</t>
  </si>
  <si>
    <t>OWMEB/MDTF/RPS/19/2/2011</t>
  </si>
  <si>
    <t>Addis Alem WSP (E /Hararge; Melka Belo)</t>
  </si>
  <si>
    <t>OWMEB/MDTF/RPS/04/2011</t>
  </si>
  <si>
    <t>Chela Negeya WSP (E /Hararge; Deder)</t>
  </si>
  <si>
    <t>OWMEB/MDTF/RPS/05/2011</t>
  </si>
  <si>
    <t>Burka Gemechu, Umer &amp; Elfeta WSP (E /Hararge; Meta)</t>
  </si>
  <si>
    <t>OWMEB/MDTF/RPS/06/2011</t>
  </si>
  <si>
    <t>Ledo WSP (Borena, Abaya)</t>
  </si>
  <si>
    <t>OWMEB/MDTF/RPS/66/2011</t>
  </si>
  <si>
    <t>Abure, Dilo &amp;Bore WSPs (Arsi, Munesa)</t>
  </si>
  <si>
    <t>OWMEB/MDTF/RPS/10/2011</t>
  </si>
  <si>
    <t>Gudina Adola, Lege Dana Gonjo, Lole &amp; Kotile WSPs (Arsi, Munesa)</t>
  </si>
  <si>
    <t>OWMEB/MDTF/RPS/11/2011</t>
  </si>
  <si>
    <t>Malekicho Asendabo WSP (Arsi, Amigna)</t>
  </si>
  <si>
    <t>10-Aug-11</t>
  </si>
  <si>
    <t>Harbefano WSP (W/Hararge, Gemechis)</t>
  </si>
  <si>
    <t>OWMEB/MDTF/RPS/07/1/2010</t>
  </si>
  <si>
    <t>Goro Meta WSP (W/Hararge, Guba Koricha)</t>
  </si>
  <si>
    <t>OWMEB/MDTF/RPS/07/2/2010</t>
  </si>
  <si>
    <t>Kebeso WSP (W/Hararge, Mesela)</t>
  </si>
  <si>
    <t>OWMEB/MDTF/RPS/07/3/2010</t>
  </si>
  <si>
    <t>Fefate, Gelcha &amp; Goda WSPs (East Shoa; Fentale)</t>
  </si>
  <si>
    <t>OWMEB/MDTF/RPS/25/1/2010</t>
  </si>
  <si>
    <t>Indode WSP(East Shoa; Gimbichu)</t>
  </si>
  <si>
    <t>OWMEB/MDTF/RPS/25/2/2010</t>
  </si>
  <si>
    <t>Ilasa WSP (Bale; Goba)</t>
  </si>
  <si>
    <t>OWMEB/MDTF/RPS/58/2010</t>
  </si>
  <si>
    <t>30/2/2011</t>
  </si>
  <si>
    <t>Dirira WSP (Bale; Delo Mena)</t>
  </si>
  <si>
    <t>OWMEB/MDTF/RPS/13/2010</t>
  </si>
  <si>
    <t>Beda Kesa WSP (Guji; Odo Shakiso)</t>
  </si>
  <si>
    <t>OWMEB/MDTF/RPS/67/2010</t>
  </si>
  <si>
    <t>20/11/2010</t>
  </si>
  <si>
    <t>Galesa Negeso WSP (Borena, Bule Hora)</t>
  </si>
  <si>
    <t>OWMEB/MDTF/RPS/15-1/2011</t>
  </si>
  <si>
    <t>Arero Tune WSP (Borena, Arero)</t>
  </si>
  <si>
    <t>OWMEB/MDTF/RPS/15-2/2011</t>
  </si>
  <si>
    <t>Rare Beha WSP (Borena, Dire)</t>
  </si>
  <si>
    <t>OWMEB/MDTF/RPS/16/2011</t>
  </si>
  <si>
    <t>Dhokole WSP (Borena, Dire)</t>
  </si>
  <si>
    <t>OWMEB/MDTF/RPS/17/2011</t>
  </si>
  <si>
    <t>Kebena'a/Mega (Borena, Dire)</t>
  </si>
  <si>
    <t>OWMEB/MDTF/RPS/18/2011</t>
  </si>
  <si>
    <t>Birate Sayo (OSZSF, Sululta)</t>
  </si>
  <si>
    <t>OWMEB/MDTF/RPS/01/2011</t>
  </si>
  <si>
    <t>Roben Jirecha Tamse (OSZSF, Sebeta Hawas)</t>
  </si>
  <si>
    <t>OWMEB/MDTF/RPS/02/2011</t>
  </si>
  <si>
    <t>Chole Sokole (North Shoa, Aleltu)</t>
  </si>
  <si>
    <t>OWMEB/MDTF/RPS/03/2011</t>
  </si>
  <si>
    <t>Kura Kemele (OSZSF, Mulo)</t>
  </si>
  <si>
    <t>Menjikso Tede (East Shoa, Gimbichu)</t>
  </si>
  <si>
    <t>Kiltu Kara (West Wollega, Kiltu kara)</t>
  </si>
  <si>
    <t>OWMEB/MDTF/RPS/22-1/2011</t>
  </si>
  <si>
    <t>Wama Tobera 2 (West Wollega, Menesibu)</t>
  </si>
  <si>
    <t>OWMEB/MDTF/RPS/22-2/2011</t>
  </si>
  <si>
    <t>Sardo (Ilu Aba Bora, Dega)</t>
  </si>
  <si>
    <t>OWMEB/MDTF/RPS/07/2011</t>
  </si>
  <si>
    <t>Ire Tokuma (East Hararge, Meta)</t>
  </si>
  <si>
    <t>Kumuto  (East Hararge, Melka Belo)</t>
  </si>
  <si>
    <t>OWMEB/MDTF/RPS/12-1/2011</t>
  </si>
  <si>
    <t>Goro Abu (East Hararge, Gola Oda)</t>
  </si>
  <si>
    <t>OWMEB/MDTF/RPS/12-2/2011</t>
  </si>
  <si>
    <t>Burka Bereka (East Hararge, Deder)</t>
  </si>
  <si>
    <t>OWMEB/MDTF/RPS/13/2011</t>
  </si>
  <si>
    <t>Alentu Dobedo &amp; Fifota Wesherbi (W/Arsi,Dodola)</t>
  </si>
  <si>
    <t>OWMEB/MDTF/RPS/19/2011</t>
  </si>
  <si>
    <t>Ititu Sura &amp; Darole (Bale &amp; Arsi; Goba &amp; Bele Gesgar)</t>
  </si>
  <si>
    <t>OWMEB/MDTF/RPS/20-1/2011</t>
  </si>
  <si>
    <t>Chobi (Bale, Sawena)</t>
  </si>
  <si>
    <t>OWMEB/MDTF/RPS/20-2/2011</t>
  </si>
  <si>
    <t>Irba &amp; Goro Uko (Bale, Delomena)</t>
  </si>
  <si>
    <t>OWMEB/MDTF/RPS/21-1/2011</t>
  </si>
  <si>
    <t>Oda Dima (Bale, Delomena)</t>
  </si>
  <si>
    <t>OWMEB/MDTF/RPS/21-2/2011</t>
  </si>
  <si>
    <t>Didibe Goro 2 (South West Shoa, Goro)</t>
  </si>
  <si>
    <t>OWMEB/MDTF/RPS/08/2011</t>
  </si>
  <si>
    <t>Echa (South West Shoa, Wonchi)</t>
  </si>
  <si>
    <t>OWMEB/MDTF/RPS/09/2011</t>
  </si>
  <si>
    <t>Gulti Bola (South West Shoa, Ameya)</t>
  </si>
  <si>
    <t>OWMEB/MDTF/RPS/21/2010</t>
  </si>
  <si>
    <t>Malko (Jima, Seka Chokorsa)</t>
  </si>
  <si>
    <t>OWMEB/MDTF/RPS/14-1/2011</t>
  </si>
  <si>
    <t>Sombo (Jima, Shabe Sombo)</t>
  </si>
  <si>
    <t>OWMEB/MDTF/RPS/14-2/2011</t>
  </si>
  <si>
    <t>Dame (Jima, Lemu Seka)</t>
  </si>
  <si>
    <t>OWMEB/MDTF/RPS/14-3/2011</t>
  </si>
  <si>
    <t>Ilala Chobi, Ilala Jeba 2 &amp; Goda Arba 2 (West shoa, Mida Kegn)</t>
  </si>
  <si>
    <t>Chando (West Shoa, Nono)</t>
  </si>
  <si>
    <t>C. New projects (10 RPS)</t>
  </si>
  <si>
    <t>Construction of 5 RPS 5 contracts</t>
  </si>
  <si>
    <t>OWMEB/MDTF/RPS/1-5/2012</t>
  </si>
  <si>
    <t>Construction of 5 RPS, 5 contracts</t>
  </si>
  <si>
    <t>OWMEB/MDTF/RPS/6-10/2011</t>
  </si>
  <si>
    <t>Total Cost</t>
  </si>
  <si>
    <t>LS&amp; TB</t>
  </si>
  <si>
    <t>CQ</t>
  </si>
  <si>
    <t>Consultancy service for capacity building &amp; data upadating works (2 teams), OWMEB/CS/WSG/01-02/2012</t>
  </si>
  <si>
    <t>15-Dec-09</t>
  </si>
  <si>
    <t>Boneya PLC, OWRB/CS/WSG/07/09</t>
  </si>
  <si>
    <t>Fanta Feyisa RWaSH Consultancy PLC, OWRB/CS/WSG/06/09</t>
  </si>
  <si>
    <t>GAMI United Consultancy PLC, OWRB/CS/WSG/05/09</t>
  </si>
  <si>
    <t>Awash Consult PLC, OWRB/CS/WSG/04/09</t>
  </si>
  <si>
    <t>Latinsa S.C, OWRB/CS/WSG/03/09</t>
  </si>
  <si>
    <t>Abdi Jiregna PLC, OWRB/CS/WSG/02/09</t>
  </si>
  <si>
    <t>Milkoftu Business and Development PLC, OWRB/CS/WSG/01/09</t>
  </si>
  <si>
    <t>A. Woreda Support Groups</t>
  </si>
  <si>
    <t>1 - 3 wks</t>
  </si>
  <si>
    <t>1 - 2 wks</t>
  </si>
  <si>
    <t>2 wks</t>
  </si>
  <si>
    <t>0.5 - 2 wks</t>
  </si>
  <si>
    <t>2 - 3 wks</t>
  </si>
  <si>
    <t>4  to</t>
  </si>
  <si>
    <t>3 - 6 wks</t>
  </si>
  <si>
    <t>Norm Duration of Proc Steps</t>
  </si>
  <si>
    <t>Final
Report</t>
  </si>
  <si>
    <t>Draft
Report</t>
  </si>
  <si>
    <t>Contract 
Signature</t>
  </si>
  <si>
    <t xml:space="preserve">Contract Award </t>
  </si>
  <si>
    <t>Contract Amount in 
US$ '000</t>
  </si>
  <si>
    <t>No-objection Date</t>
  </si>
  <si>
    <t>Submission Date</t>
  </si>
  <si>
    <t>Negotiations (N)</t>
  </si>
  <si>
    <t>Preparation
Eval Report
(T) (F)</t>
  </si>
  <si>
    <t>Opening Financial Proposals</t>
  </si>
  <si>
    <t>No-objection
Evaluation
Report  (T)</t>
  </si>
  <si>
    <t>Submission
Evaluation
Report (T)</t>
  </si>
  <si>
    <t>Submission/
Opening
Date</t>
  </si>
  <si>
    <t>Invitation
Date</t>
  </si>
  <si>
    <t>Submission
Date</t>
  </si>
  <si>
    <t>Lead-time before shortlist</t>
  </si>
  <si>
    <t>On-line UNDB
Gateway
Nat Press</t>
  </si>
  <si>
    <t>Prep &amp; Submission
by Ex Ag</t>
  </si>
  <si>
    <t>Prior/Post Review</t>
  </si>
  <si>
    <t>Lumpsum
or
Time-Based</t>
  </si>
  <si>
    <t>Selection Method</t>
  </si>
  <si>
    <t>Draft Contract</t>
  </si>
  <si>
    <t>Proposal Evaluation and Negotiation for Projects after May 2002
Technical (T) &amp; Financial (F) and Negotions (N)</t>
  </si>
  <si>
    <t>Consultant
Proposals</t>
  </si>
  <si>
    <t>Short
List</t>
  </si>
  <si>
    <t>Preparation 
Request for Proposals</t>
  </si>
  <si>
    <t>Contract
Type</t>
  </si>
  <si>
    <t>Request for EOI
(where required)</t>
  </si>
  <si>
    <t>If Post-Review, No-objection Dates are not needed</t>
  </si>
  <si>
    <t>For Contracts under projects approved after the May 2002 Guidelines</t>
  </si>
  <si>
    <t>Country/Organisation:</t>
  </si>
  <si>
    <t>THE PROPER TEMPLATE!</t>
  </si>
  <si>
    <t>For All Non ICB, No-objection will be requested from MOWR PMU</t>
  </si>
  <si>
    <t>Procurement Plan Consultancy</t>
  </si>
  <si>
    <t>Procurement of Goods (Urban)</t>
  </si>
  <si>
    <t>Oromia Towns Water Supply and Sewerage Service Entrprises</t>
  </si>
  <si>
    <t>Urban Water Supply and Sanitation  Project</t>
  </si>
  <si>
    <t>Loan No:</t>
  </si>
  <si>
    <t>IDA Credit 3901-ET and IDA Grant 085-ET</t>
  </si>
  <si>
    <t>Description</t>
  </si>
  <si>
    <t>Spec Proc Notice Advert</t>
  </si>
  <si>
    <t>Lot Number</t>
  </si>
  <si>
    <t>Estimated Amount in USD</t>
  </si>
  <si>
    <t>No-objection (Internal Approval for NCB) Date</t>
  </si>
  <si>
    <t>Contract Amount in 
USD</t>
  </si>
  <si>
    <t>Supply of Pipe, fittings and Accessories  for Ambo Town</t>
  </si>
  <si>
    <t xml:space="preserve">OWRB/UWSG/01/2010
</t>
  </si>
  <si>
    <t>ICB</t>
  </si>
  <si>
    <t>Prior</t>
  </si>
  <si>
    <t>17-Jul-11</t>
  </si>
  <si>
    <t>09-Dec.-2011</t>
  </si>
  <si>
    <t>15-Dec-11</t>
  </si>
  <si>
    <t>23-Jan-12</t>
  </si>
  <si>
    <t>Supply of Pipe, fittings and Accessories for Bule Hora Town</t>
  </si>
  <si>
    <t xml:space="preserve">OWRB/UWSG/02/2010
</t>
  </si>
  <si>
    <t>Supply of Pipe, fittings and Accessories for Meki Town</t>
  </si>
  <si>
    <t xml:space="preserve">OWRB/UWSG/03/2010
</t>
  </si>
  <si>
    <t>14-Jun-11</t>
  </si>
  <si>
    <t>25-Nov-2011</t>
  </si>
  <si>
    <t>7-Dec-11</t>
  </si>
  <si>
    <t>Supply and Installation of Electro-mechanical equipment  for Ambo Town</t>
  </si>
  <si>
    <t xml:space="preserve">OWRB/UWS/EM/01/2010
</t>
  </si>
  <si>
    <t>Supply and Installation of Electro-mechanical equipment  for Bule Hora Town</t>
  </si>
  <si>
    <t xml:space="preserve">OWRB/UWS/EM/02/2010
</t>
  </si>
  <si>
    <t>Supply and Installation of Electro-mechanical equipment  for   Meki Town</t>
  </si>
  <si>
    <t xml:space="preserve">OWRB/UWS/EM/03/2010
</t>
  </si>
  <si>
    <t>Supply and Installation of Electro-mechanical equipment  for Chiro Town</t>
  </si>
  <si>
    <t xml:space="preserve">OWRB/UWS/EM/04/2010
</t>
  </si>
  <si>
    <t>Supply and Installation of Electro-mechanical equipment  for Bishoftu Town</t>
  </si>
  <si>
    <t xml:space="preserve">OWRB/UWS/EM/05/2010
</t>
  </si>
  <si>
    <t>Supply and Installation of Electro-mechanical equipment  for  Mojo Town</t>
  </si>
  <si>
    <t xml:space="preserve">OWRB/UWS/EM/06/2010
</t>
  </si>
  <si>
    <t>Total Cost For Goods for Large Towns</t>
  </si>
  <si>
    <t>Procurement of Works for Large Towns (Urban)</t>
  </si>
  <si>
    <t>Country/Organization:</t>
  </si>
  <si>
    <t>FDR of Ethiopia/OromiaTowns Water Supply and Sewerage Service Improvement and Expansion Project</t>
  </si>
  <si>
    <t xml:space="preserve">Project/Programmed: </t>
  </si>
  <si>
    <t>Estimated Amount in
USD</t>
  </si>
  <si>
    <t>Contract Amount in USD</t>
  </si>
  <si>
    <t>Test Water Well Drilling for Bule Hora Town</t>
  </si>
  <si>
    <t>OWRB\UPWD/01/2010</t>
  </si>
  <si>
    <t>2-Jul-10</t>
  </si>
  <si>
    <t>30-Jul-10</t>
  </si>
  <si>
    <t>29-Feb-11</t>
  </si>
  <si>
    <t>Test Water Well Drilling for  Meki Town</t>
  </si>
  <si>
    <t>OWRB\UPWD/02/2010</t>
  </si>
  <si>
    <t xml:space="preserve">Test Water Well Drilling for Chiro &amp; Shashemene Towns </t>
  </si>
  <si>
    <t>OWRB\UPWD/03/2010</t>
  </si>
  <si>
    <t>Rev-2</t>
  </si>
  <si>
    <t>Production Water Well Drilling for Bule Hora Town</t>
  </si>
  <si>
    <t>25-Jul-11</t>
  </si>
  <si>
    <t>26-Aug-11</t>
  </si>
  <si>
    <t>16-Sep-11</t>
  </si>
  <si>
    <t>Production Water Well Drilling for  Meki Town</t>
  </si>
  <si>
    <t>28-Oct-11</t>
  </si>
  <si>
    <t>20-Sep-11</t>
  </si>
  <si>
    <t>28-Sep-11</t>
  </si>
  <si>
    <t>23-Dec-11</t>
  </si>
  <si>
    <t>15-Feb-12</t>
  </si>
  <si>
    <t>Ambo Town Civil Work Construction</t>
  </si>
  <si>
    <t>OWRB\UCWC/01/2010</t>
  </si>
  <si>
    <t>3-Feb-11</t>
  </si>
  <si>
    <t>1-Apr-11</t>
  </si>
  <si>
    <t>19-May-11</t>
  </si>
  <si>
    <t>Bule Hora Town Civil Work Construction</t>
  </si>
  <si>
    <t>OWRB\UCWC/02/2010</t>
  </si>
  <si>
    <t>26-Apr-11</t>
  </si>
  <si>
    <t>15-Jul-11</t>
  </si>
  <si>
    <t>Meki Town Civil Work Construction</t>
  </si>
  <si>
    <t>24-Mar-11</t>
  </si>
  <si>
    <t>2-May-11</t>
  </si>
  <si>
    <t>OWRB\UCWC/04/2010</t>
  </si>
  <si>
    <t>OWRB\UCWC/05/2010</t>
  </si>
  <si>
    <t>OWRB\UCWC/06/2010</t>
  </si>
  <si>
    <t xml:space="preserve">Large towns Total Cost </t>
  </si>
  <si>
    <t>Procurement of Consultancy Services (Urban)</t>
  </si>
  <si>
    <t>Contract Id</t>
  </si>
  <si>
    <t>Lumpsum or
Time-Based</t>
  </si>
  <si>
    <t xml:space="preserve">Estimated Amount in USD </t>
  </si>
  <si>
    <t>Prep &amp; Submission by Ex Agency</t>
  </si>
  <si>
    <t>On-line UNDB
Gateway/
National  Press</t>
  </si>
  <si>
    <t>Plan Vs Actual</t>
  </si>
  <si>
    <t>Invitation Date</t>
  </si>
  <si>
    <t>Submission/ Opening Date</t>
  </si>
  <si>
    <t>Submission Evaluation
Report (T)</t>
  </si>
  <si>
    <t>No-objection Evaluation
Report  (T)</t>
  </si>
  <si>
    <t>Evaluation (T) (F)</t>
  </si>
  <si>
    <t xml:space="preserve">No-objection
Eval Report
(T) (F) </t>
  </si>
  <si>
    <t>Negotiations</t>
  </si>
  <si>
    <t>No-objection Eval Report
(T) (F)/ Negotiated Draft Contract</t>
  </si>
  <si>
    <t>Contract Signature</t>
  </si>
  <si>
    <t>Mobilization Advance
Payment</t>
  </si>
  <si>
    <t>Draft Report</t>
  </si>
  <si>
    <t>Final Report</t>
  </si>
  <si>
    <t>SABA+ARMA for Adama &amp;Assela (to step 2a) and  Ambo &amp;  Bule Hora (to Step 3)</t>
  </si>
  <si>
    <t>QCBS</t>
  </si>
  <si>
    <t>ICB-UWSSP-LT/06-4
/S002/2009</t>
  </si>
  <si>
    <t>LS &amp; TB</t>
  </si>
  <si>
    <t>Meteferia for Bishftu, Mojo &amp; Chiro (to Step 2a) and for Meki (to Step 3)</t>
  </si>
  <si>
    <t>LS</t>
  </si>
  <si>
    <t>LCB-UWSSP-1/2010</t>
  </si>
  <si>
    <t>Total Cost For Consultancy Services</t>
  </si>
  <si>
    <t>Date Contract
Award</t>
  </si>
  <si>
    <t>Date Contract
Signature</t>
  </si>
  <si>
    <t>Opening Let of Credit</t>
  </si>
  <si>
    <t>Arrival of
Goods</t>
  </si>
  <si>
    <t xml:space="preserve">Supply of Generating Sets for 8 small Towns </t>
  </si>
  <si>
    <t xml:space="preserve">OWMEB/UWS/EM/01/2011
</t>
  </si>
  <si>
    <t>16-Nov-11</t>
  </si>
  <si>
    <t>20-Nov-11</t>
  </si>
  <si>
    <t xml:space="preserve">Supply of pumps for 16 small Towns </t>
  </si>
  <si>
    <t xml:space="preserve">OWMEB/UWS/EM/02/2011
</t>
  </si>
  <si>
    <t xml:space="preserve">Connection 8 small towns to EEPCO Grid  </t>
  </si>
  <si>
    <t xml:space="preserve">OWMEB/UWS/EM/03/2011
</t>
  </si>
  <si>
    <t xml:space="preserve">Supply of compueters, laptop and printers for 24 small towns  </t>
  </si>
  <si>
    <t xml:space="preserve">OWMEB/UWS/OEQ/01/2012
</t>
  </si>
  <si>
    <t>Supply of motor bike for 24 small towns</t>
  </si>
  <si>
    <t xml:space="preserve">OWMEB/UWS/MB/02/2012
</t>
  </si>
  <si>
    <t>Supply of maintenance tools for 24 small towns</t>
  </si>
  <si>
    <t xml:space="preserve">OWMEB/UWS/MT/03/2012
</t>
  </si>
  <si>
    <t>Total Cost For Goods for Small Towns</t>
  </si>
  <si>
    <t>Procurement of Works</t>
  </si>
  <si>
    <t>A. Drilling</t>
  </si>
  <si>
    <t>A.1. Completed</t>
  </si>
  <si>
    <t>Production Water Well Drilling for Guliso Town</t>
  </si>
  <si>
    <t>OWRB\MDTF\UDW/02/2010</t>
  </si>
  <si>
    <t>2-Jan-10</t>
  </si>
  <si>
    <t>4-Jan-10</t>
  </si>
  <si>
    <t>12-Feb-11</t>
  </si>
  <si>
    <t>14-Mar-11</t>
  </si>
  <si>
    <t>8-Apr-11</t>
  </si>
  <si>
    <t>25-Dec-11</t>
  </si>
  <si>
    <t>Production Water Well Drilling for Bokoji, Bake &amp; Hirna Towns</t>
  </si>
  <si>
    <t>OWRB\MDTF\UDW/01/2010</t>
  </si>
  <si>
    <t>20-Nov-09</t>
  </si>
  <si>
    <t>22-Nov-09</t>
  </si>
  <si>
    <t>13-Dec-09</t>
  </si>
  <si>
    <t>13-Jan-10</t>
  </si>
  <si>
    <t>25-Jan-10</t>
  </si>
  <si>
    <t>27-Jan-10</t>
  </si>
  <si>
    <t>08-Feb-10</t>
  </si>
  <si>
    <t>19-Feb-10</t>
  </si>
  <si>
    <t>18-May-10</t>
  </si>
  <si>
    <t>Production Water Well Drilling for Bure &amp; Yanfa Town</t>
  </si>
  <si>
    <t>OWRB/MDTF/DW/02/2/2010</t>
  </si>
  <si>
    <t>Production Water Well Drilling for Olonkomi Towns</t>
  </si>
  <si>
    <t>Production Water Well Drilling for  Magado Town</t>
  </si>
  <si>
    <t>OWME/MDTF/DW/06/1/2010</t>
  </si>
  <si>
    <t>26-Feb-11</t>
  </si>
  <si>
    <t>02-Mar-11</t>
  </si>
  <si>
    <t>30-Dec-11</t>
  </si>
  <si>
    <t>A.2. Ongoing</t>
  </si>
  <si>
    <t>Production Water Well Drilling for Dabaso  Town</t>
  </si>
  <si>
    <t>OWME\MDTF\DW&amp;SHW/02/03/2010</t>
  </si>
  <si>
    <t>1-Dec-11</t>
  </si>
  <si>
    <t>05-Jan-12</t>
  </si>
  <si>
    <t>08-Jan-12</t>
  </si>
  <si>
    <t>B. Civil Work</t>
  </si>
  <si>
    <t>B.1. Completed</t>
  </si>
  <si>
    <t>Ali Town Civil Work Construction</t>
  </si>
  <si>
    <t>OWRB\UWSSCWC/005/7/2008</t>
  </si>
  <si>
    <t>13-May-09</t>
  </si>
  <si>
    <t>1-Jun-09</t>
  </si>
  <si>
    <t>20-Jun-09</t>
  </si>
  <si>
    <t>21-Jul-09</t>
  </si>
  <si>
    <t>28-Jul-09</t>
  </si>
  <si>
    <t>31-Jul-09</t>
  </si>
  <si>
    <t>12-May-11</t>
  </si>
  <si>
    <t>Atinago Town Civil Work Construction</t>
  </si>
  <si>
    <t>OWRB\UWSSCWC/005/1/2008</t>
  </si>
  <si>
    <t>17-Jan-10</t>
  </si>
  <si>
    <t>BaboTown Civil Work Construction</t>
  </si>
  <si>
    <t>OWRB\UWSSCWC/005/2/2008</t>
  </si>
  <si>
    <t>30-Jul-09</t>
  </si>
  <si>
    <t>18-Sep-10</t>
  </si>
  <si>
    <t>Busa Town Civil Work Construction</t>
  </si>
  <si>
    <t>OWRB\UWSSCWC/004/2008</t>
  </si>
  <si>
    <t>07-Dec-09</t>
  </si>
  <si>
    <t>Dilala Town Civil Work Construction</t>
  </si>
  <si>
    <t>06-Feb-09</t>
  </si>
  <si>
    <t>02-Mar-09</t>
  </si>
  <si>
    <t>3-Mar-09</t>
  </si>
  <si>
    <t>18-Mar-09</t>
  </si>
  <si>
    <t>19-Mar-09</t>
  </si>
  <si>
    <t>25-Mar-09</t>
  </si>
  <si>
    <t>Ejere Town Civil Work Construction</t>
  </si>
  <si>
    <t>OWRB\UWSSCWC/005/4/2008</t>
  </si>
  <si>
    <t>24-Oct-10</t>
  </si>
  <si>
    <t>Kombolcha Town Civil Work Construction</t>
  </si>
  <si>
    <t>OWRB\UWSSCWC/005/5/2008</t>
  </si>
  <si>
    <t>12-Oct-10</t>
  </si>
  <si>
    <t>Segno Gabaya Town Civil Work Construction</t>
  </si>
  <si>
    <t>OWRB\UWSSCWC/005/6/2008</t>
  </si>
  <si>
    <t>16-Feb-09</t>
  </si>
  <si>
    <t>29-Feb-09</t>
  </si>
  <si>
    <t>01-Apr-09</t>
  </si>
  <si>
    <t>05-My-09</t>
  </si>
  <si>
    <t>28-May-09</t>
  </si>
  <si>
    <t>06-Jun-09</t>
  </si>
  <si>
    <t>22-Sep-10</t>
  </si>
  <si>
    <t>Solomo Town Civil Work Construction</t>
  </si>
  <si>
    <t>09-Dec-10</t>
  </si>
  <si>
    <t>B.2. Ongoing</t>
  </si>
  <si>
    <t>BakeTown Civil Work Construction</t>
  </si>
  <si>
    <t>OWME\MDTF\UCWC/01/2011</t>
  </si>
  <si>
    <t>19-Mar-11</t>
  </si>
  <si>
    <t>25-Apr-11</t>
  </si>
  <si>
    <t>26-May-11</t>
  </si>
  <si>
    <t>02-Jun-11</t>
  </si>
  <si>
    <t>Olonkomi Town Civil Work Construction</t>
  </si>
  <si>
    <t>OWME\MDTF\UCWC/02/2011</t>
  </si>
  <si>
    <t>Bokoji Town Civil Work Construction</t>
  </si>
  <si>
    <t>OWME\MDTF\UCWC/03/2011</t>
  </si>
  <si>
    <t>07-Jul-11</t>
  </si>
  <si>
    <t>26-Jul-11</t>
  </si>
  <si>
    <t>Hirna Town Civil Work Construction</t>
  </si>
  <si>
    <t>OWME\MDTF\UCWC/04/2011</t>
  </si>
  <si>
    <t>2-Jun-11</t>
  </si>
  <si>
    <t>21-Jun-11</t>
  </si>
  <si>
    <t>Guliso Town Civil Work Construction</t>
  </si>
  <si>
    <t>OWME\MDTF\UCWC/05/2011</t>
  </si>
  <si>
    <t>Bure Town Civil Work Construction</t>
  </si>
  <si>
    <t>OWME\MDTF\UCWC/06/2011</t>
  </si>
  <si>
    <t>12-Dec-11</t>
  </si>
  <si>
    <t>20-Dec-11</t>
  </si>
  <si>
    <t>2-Jan-12</t>
  </si>
  <si>
    <t>Yanfa Town Civil Work Construction</t>
  </si>
  <si>
    <t>OWME\MDTF\UCWC/07/2011</t>
  </si>
  <si>
    <t>Megado Town Civil Work Construction</t>
  </si>
  <si>
    <t>OWME\MDTF\UCWC/08/2011</t>
  </si>
  <si>
    <t>06-Dec-11</t>
  </si>
  <si>
    <t>10-Dec-11</t>
  </si>
  <si>
    <t>28-Nov-11</t>
  </si>
  <si>
    <t>06-Jan-12</t>
  </si>
  <si>
    <t>13-Jan-12</t>
  </si>
  <si>
    <t>25-Jan-12</t>
  </si>
  <si>
    <t>Surupha Town Civil Work Construction</t>
  </si>
  <si>
    <t>OWME\MDTF\UCWC/09/2011</t>
  </si>
  <si>
    <t>Getema Town Civil Work Construction</t>
  </si>
  <si>
    <t>OWRB\UWSSCWC/005/8/2008</t>
  </si>
  <si>
    <t>01-Jun-10</t>
  </si>
  <si>
    <t>10-Jun-10</t>
  </si>
  <si>
    <t>DabasoTown Civil Work Construction</t>
  </si>
  <si>
    <t>OWRB\UWSSCWC/005/3/2008</t>
  </si>
  <si>
    <t>Dhera Town Civil Work Construction</t>
  </si>
  <si>
    <t xml:space="preserve">Small towns Sub Total Cost for Work </t>
  </si>
  <si>
    <t>Procurement of Consultancy Services</t>
  </si>
  <si>
    <t>If Post-Review, No-objection will be  requested from  MOWR PMU</t>
  </si>
  <si>
    <t>Contract Type</t>
  </si>
  <si>
    <t xml:space="preserve">Estimated Amount
 in Eth. Birr </t>
  </si>
  <si>
    <t>On-line UNDB Gateway/
National  Press</t>
  </si>
  <si>
    <t>Submission/Opening Date</t>
  </si>
  <si>
    <t>Submission of Evaluation (T) (F)</t>
  </si>
  <si>
    <t>Submission
Draft Contract</t>
  </si>
  <si>
    <t xml:space="preserve">Contract award </t>
  </si>
  <si>
    <t>1 - 1,5 wks</t>
  </si>
  <si>
    <t>Consultancy Service for   Step 3 for Towns Less Than 15000 Population</t>
  </si>
  <si>
    <t>OWRB/CS/01/2012</t>
  </si>
  <si>
    <t>Lump sum</t>
  </si>
  <si>
    <t xml:space="preserve"> Environmental and Social Impact Assessment for Ambo town</t>
  </si>
  <si>
    <t>LCB-UWSSP-LT/06-04/SOO/2009</t>
  </si>
  <si>
    <t xml:space="preserve"> Environmental and Social Impact Assessment for Bule Hora</t>
  </si>
  <si>
    <t>24-May-12</t>
  </si>
  <si>
    <t>14-Mar-12</t>
  </si>
  <si>
    <t>22 -Mar-12</t>
  </si>
  <si>
    <t xml:space="preserve">29-May-12 </t>
  </si>
  <si>
    <t>Chiro Town Civil Work Construction and Supply of Pipe and fittings</t>
  </si>
  <si>
    <t>BishoftuTown Civil Work Construction &amp; supply of Pipe and Fittings</t>
  </si>
  <si>
    <t>Modjo Town Civil Work Construction ans Supply of Pipe &amp; Fittings</t>
  </si>
  <si>
    <t>8-Jun-2012</t>
  </si>
  <si>
    <t>30-May-12</t>
  </si>
  <si>
    <t>30-Mar-13</t>
  </si>
  <si>
    <t xml:space="preserve">Production Water Well Drilling for Bishoftu, </t>
  </si>
  <si>
    <t>Production Water Well Drilling for Modjo</t>
  </si>
  <si>
    <t>9-may-12</t>
  </si>
  <si>
    <t>26-Apr-12</t>
  </si>
  <si>
    <t>OWRB\UPWD/05/2010</t>
  </si>
  <si>
    <t>9-May-12</t>
  </si>
  <si>
    <t xml:space="preserve">Production Water Well Drilling  Chiro Towns </t>
  </si>
  <si>
    <t>29- Mar-12</t>
  </si>
  <si>
    <t>17.54</t>
  </si>
  <si>
    <t>OWRB\UWSSCWC/002/2008</t>
  </si>
  <si>
    <t>30-June-12</t>
  </si>
  <si>
    <t>30- Mar-13</t>
  </si>
  <si>
    <t>Chabi Sire Goyo (OSZSF, Berek)</t>
  </si>
  <si>
    <t xml:space="preserve"> WaSHCO, WaSH Vol and Care Takers Training</t>
  </si>
  <si>
    <t>Training on WQTK and Computer for Weredas</t>
  </si>
  <si>
    <t>I. Deep Wells drilling   (60 DWs)</t>
  </si>
  <si>
    <t>NA</t>
  </si>
  <si>
    <t>OWRB/EME/ MDTF/01/ 2010-Lot 1</t>
  </si>
  <si>
    <t>OWRB/EME/ MDTF/02/ 1/2010</t>
  </si>
  <si>
    <t>OWRB/EME/ MDTF/01/1 /2010</t>
  </si>
  <si>
    <t>OWRB/MDTF/ OF/01/ 2010</t>
  </si>
  <si>
    <t>OWRB/MDTF/ SE/03/ 2010</t>
  </si>
  <si>
    <t>OWRB/MDTF/ OF/02/ 2010</t>
  </si>
  <si>
    <t>OWRB/MDTF/ GPS/07/ 2010</t>
  </si>
  <si>
    <t>OWRB/HP/ MDTF/04/ 2010</t>
  </si>
  <si>
    <t>03-Jun-11</t>
  </si>
  <si>
    <t>Plan vs.
Actual</t>
  </si>
  <si>
    <t>Consultancy Service for step 2b and Step 3 for Bishftu, Chiro and Mojo towns</t>
  </si>
  <si>
    <t>B</t>
  </si>
  <si>
    <t xml:space="preserve">Woreda Level </t>
  </si>
  <si>
    <t>III. Rural Pipe System (137RPS)</t>
  </si>
  <si>
    <t>B. Capac ity Building at Wereda Level</t>
  </si>
  <si>
    <t>Submission Eval Report (T) (F) &amp; Negotiated Draft Contract</t>
  </si>
  <si>
    <t xml:space="preserve">No-objection Eval Report (T) (F) </t>
  </si>
  <si>
    <t>23-Apr-12</t>
  </si>
  <si>
    <r>
      <t xml:space="preserve">Country/Organization: </t>
    </r>
    <r>
      <rPr>
        <b/>
        <u/>
        <sz val="11"/>
        <rFont val="Arial"/>
        <family val="2"/>
      </rPr>
      <t>Oromia National Regional State Water Resource Bureau</t>
    </r>
  </si>
  <si>
    <r>
      <t xml:space="preserve">Project/Programme: </t>
    </r>
    <r>
      <rPr>
        <b/>
        <u/>
        <sz val="11"/>
        <rFont val="Arial"/>
        <family val="2"/>
      </rPr>
      <t>IDA-DFID (MDTF)</t>
    </r>
  </si>
  <si>
    <t>15-Apr-12</t>
  </si>
  <si>
    <t>30-Apr-12</t>
  </si>
  <si>
    <t>10-May-12</t>
  </si>
  <si>
    <t>10-Sep-11</t>
  </si>
  <si>
    <t>20-Aug-11</t>
  </si>
  <si>
    <t>28-Jul-11</t>
  </si>
  <si>
    <t>19-Jul-11</t>
  </si>
  <si>
    <t>06-Oct-11</t>
  </si>
  <si>
    <t>21-Nov-11</t>
  </si>
  <si>
    <t>6-10-11</t>
  </si>
  <si>
    <t>30-Mar-14</t>
  </si>
  <si>
    <t>NCB -SWSSE/WDF/02/2010</t>
  </si>
  <si>
    <t>05 Dec 11</t>
  </si>
  <si>
    <t>15-Aug-10</t>
  </si>
  <si>
    <t>22 Nov 11</t>
  </si>
  <si>
    <t>NCB -SWSSE/WDF/03/2010</t>
  </si>
  <si>
    <t>23-Mar-11</t>
  </si>
  <si>
    <t xml:space="preserve">Sebeta Town Water Well Drilling </t>
  </si>
  <si>
    <t>Sebeta Town Civil Work Construction</t>
  </si>
  <si>
    <t>NS</t>
  </si>
  <si>
    <t>N/A</t>
  </si>
  <si>
    <t xml:space="preserve">SWSSE/WDF/G/02/2010
</t>
  </si>
  <si>
    <t>08-Apr-10</t>
  </si>
  <si>
    <t xml:space="preserve">SWSSE/WDF/G/03/2010
</t>
  </si>
  <si>
    <t xml:space="preserve">SWSSE/WDF/G/04/2010
</t>
  </si>
  <si>
    <t>1-Feb-11</t>
  </si>
  <si>
    <t>18-Mar-11</t>
  </si>
  <si>
    <t xml:space="preserve">SWSSE/WDF/G/05/2010
</t>
  </si>
  <si>
    <t>Sebeta Town Procurement of GPS</t>
  </si>
  <si>
    <t>Sebeta Town Supply of Pipes and Fittings  for Tertiary line</t>
  </si>
  <si>
    <t xml:space="preserve">Sebeta Town Supply and Installation of Electro-mechanical equipment </t>
  </si>
  <si>
    <t>OWRB
/S002/2009</t>
  </si>
  <si>
    <t>Lump Sum &amp; Time Based</t>
  </si>
  <si>
    <t>IC</t>
  </si>
  <si>
    <t>SWSSE
/S001/2010</t>
  </si>
  <si>
    <t>07/10/2009</t>
  </si>
  <si>
    <t>04/11/2009</t>
  </si>
  <si>
    <t xml:space="preserve">Sebeta Town Consultancy for Design Review and Supervision of sanitation Facility </t>
  </si>
  <si>
    <t>Sebeta Town Consultancy for ESIA</t>
  </si>
  <si>
    <t>Rev.</t>
  </si>
  <si>
    <t xml:space="preserve">Sebeta Town Procurement of office equipment </t>
  </si>
  <si>
    <t xml:space="preserve">Estimated Amount
 in US$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</si>
</sst>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[$-409]d\-mmm\-yy;@"/>
    <numFmt numFmtId="166" formatCode="[$-409]dd/mmm/yy;@"/>
    <numFmt numFmtId="167" formatCode="[$-409]d/mmm/yy;@"/>
    <numFmt numFmtId="168" formatCode="m/d/yy;@"/>
    <numFmt numFmtId="169" formatCode="[$-409]d\-mmm\-yyyy;@"/>
    <numFmt numFmtId="170" formatCode="m/d;@"/>
    <numFmt numFmtId="171" formatCode="_(* #,##0_);_(* \(#,##0\);_(* &quot;-&quot;??_);_(@_)"/>
  </numFmts>
  <fonts count="65" x14ac:knownFonts="1">
    <font>
      <b/>
      <sz val="11"/>
      <color indexed="9"/>
      <name val="Calibri"/>
      <family val="2"/>
    </font>
    <font>
      <sz val="11"/>
      <name val="Times New Roman"/>
      <family val="1"/>
    </font>
    <font>
      <b/>
      <sz val="13"/>
      <color indexed="62"/>
      <name val="Calibri"/>
      <family val="2"/>
    </font>
    <font>
      <sz val="8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Book Antiqua"/>
      <family val="1"/>
    </font>
    <font>
      <u/>
      <sz val="10"/>
      <name val="Book Antiqua"/>
      <family val="1"/>
    </font>
    <font>
      <b/>
      <sz val="10"/>
      <name val="Book Antiqua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9"/>
      <name val="Book Antiqua"/>
      <family val="1"/>
    </font>
    <font>
      <b/>
      <sz val="11"/>
      <name val="Book Antiqua"/>
      <family val="1"/>
    </font>
    <font>
      <sz val="10"/>
      <color rgb="FFFF0000"/>
      <name val="Arial"/>
      <family val="2"/>
    </font>
    <font>
      <sz val="8"/>
      <name val="Book Antiqua"/>
      <family val="1"/>
    </font>
    <font>
      <b/>
      <sz val="10"/>
      <name val="Calibri"/>
      <family val="2"/>
    </font>
    <font>
      <sz val="11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sz val="11"/>
      <color theme="1" tint="0.249977111117893"/>
      <name val="Times New Roman"/>
      <family val="1"/>
    </font>
    <font>
      <sz val="8"/>
      <color theme="1" tint="0.249977111117893"/>
      <name val="Times New Roman"/>
      <family val="1"/>
    </font>
    <font>
      <sz val="10"/>
      <color theme="1" tint="0.249977111117893"/>
      <name val="Times New Roman"/>
      <family val="1"/>
    </font>
    <font>
      <b/>
      <sz val="8"/>
      <color theme="1" tint="0.249977111117893"/>
      <name val="Times New Roman"/>
      <family val="1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mbria"/>
      <family val="2"/>
    </font>
    <font>
      <b/>
      <u/>
      <sz val="11"/>
      <name val="Times New Roman"/>
      <family val="1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b/>
      <sz val="12"/>
      <color indexed="56"/>
      <name val="Times New Roman"/>
      <family val="1"/>
    </font>
    <font>
      <b/>
      <sz val="12"/>
      <color theme="3"/>
      <name val="Calibri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name val="Times New Roman"/>
      <family val="1"/>
    </font>
    <font>
      <sz val="11"/>
      <name val="Arial Narrow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  <font>
      <b/>
      <sz val="11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sz val="9"/>
      <color theme="1" tint="4.9989318521683403E-2"/>
      <name val="Times New Roman"/>
      <family val="1"/>
    </font>
    <font>
      <b/>
      <sz val="10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sz val="11"/>
      <color rgb="FFFF0000"/>
      <name val="Arial"/>
      <family val="2"/>
    </font>
    <font>
      <b/>
      <sz val="10"/>
      <color theme="1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21">
    <xf numFmtId="0" fontId="0" fillId="0" borderId="0" xfId="0"/>
    <xf numFmtId="49" fontId="14" fillId="2" borderId="0" xfId="0" applyNumberFormat="1" applyFont="1" applyFill="1"/>
    <xf numFmtId="49" fontId="14" fillId="2" borderId="5" xfId="0" applyNumberFormat="1" applyFont="1" applyFill="1" applyBorder="1" applyAlignment="1">
      <alignment horizontal="center" vertical="center" textRotation="90" wrapText="1"/>
    </xf>
    <xf numFmtId="49" fontId="14" fillId="2" borderId="5" xfId="0" applyNumberFormat="1" applyFont="1" applyFill="1" applyBorder="1" applyAlignment="1"/>
    <xf numFmtId="15" fontId="14" fillId="2" borderId="5" xfId="0" applyNumberFormat="1" applyFont="1" applyFill="1" applyBorder="1" applyAlignment="1" applyProtection="1">
      <protection locked="0"/>
    </xf>
    <xf numFmtId="0" fontId="14" fillId="2" borderId="12" xfId="2" applyNumberFormat="1" applyFont="1" applyFill="1" applyBorder="1" applyAlignment="1" applyProtection="1">
      <alignment vertical="center" wrapText="1"/>
      <protection locked="0"/>
    </xf>
    <xf numFmtId="49" fontId="14" fillId="2" borderId="5" xfId="0" applyNumberFormat="1" applyFont="1" applyFill="1" applyBorder="1" applyAlignment="1">
      <alignment horizontal="center" wrapText="1"/>
    </xf>
    <xf numFmtId="15" fontId="14" fillId="2" borderId="5" xfId="0" applyNumberFormat="1" applyFont="1" applyFill="1" applyBorder="1" applyAlignment="1" applyProtection="1">
      <alignment horizontal="center"/>
      <protection locked="0"/>
    </xf>
    <xf numFmtId="167" fontId="14" fillId="2" borderId="5" xfId="0" applyNumberFormat="1" applyFont="1" applyFill="1" applyBorder="1" applyAlignment="1" applyProtection="1">
      <protection locked="0"/>
    </xf>
    <xf numFmtId="15" fontId="14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2" borderId="5" xfId="0" applyNumberFormat="1" applyFont="1" applyFill="1" applyBorder="1" applyAlignment="1" applyProtection="1">
      <protection locked="0"/>
    </xf>
    <xf numFmtId="49" fontId="14" fillId="2" borderId="5" xfId="0" applyNumberFormat="1" applyFont="1" applyFill="1" applyBorder="1" applyAlignment="1" applyProtection="1">
      <protection locked="0"/>
    </xf>
    <xf numFmtId="43" fontId="14" fillId="2" borderId="6" xfId="1" applyFont="1" applyFill="1" applyBorder="1" applyAlignment="1" applyProtection="1">
      <alignment horizontal="left"/>
      <protection locked="0"/>
    </xf>
    <xf numFmtId="165" fontId="14" fillId="2" borderId="5" xfId="0" applyNumberFormat="1" applyFont="1" applyFill="1" applyBorder="1" applyAlignment="1" applyProtection="1">
      <alignment horizontal="center"/>
      <protection locked="0"/>
    </xf>
    <xf numFmtId="43" fontId="14" fillId="2" borderId="5" xfId="1" applyFont="1" applyFill="1" applyBorder="1" applyAlignment="1" applyProtection="1">
      <protection locked="0"/>
    </xf>
    <xf numFmtId="165" fontId="14" fillId="2" borderId="5" xfId="0" applyNumberFormat="1" applyFont="1" applyFill="1" applyBorder="1" applyAlignment="1" applyProtection="1">
      <alignment horizontal="center" vertical="center"/>
      <protection locked="0"/>
    </xf>
    <xf numFmtId="15" fontId="21" fillId="2" borderId="5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>
      <alignment wrapText="1"/>
    </xf>
    <xf numFmtId="15" fontId="14" fillId="2" borderId="5" xfId="0" applyNumberFormat="1" applyFont="1" applyFill="1" applyBorder="1" applyAlignment="1" applyProtection="1">
      <alignment horizontal="left"/>
      <protection locked="0"/>
    </xf>
    <xf numFmtId="165" fontId="14" fillId="2" borderId="5" xfId="0" applyNumberFormat="1" applyFont="1" applyFill="1" applyBorder="1" applyAlignment="1" applyProtection="1">
      <protection locked="0"/>
    </xf>
    <xf numFmtId="167" fontId="14" fillId="2" borderId="5" xfId="0" applyNumberFormat="1" applyFont="1" applyFill="1" applyBorder="1" applyAlignment="1" applyProtection="1">
      <alignment horizontal="center"/>
      <protection locked="0"/>
    </xf>
    <xf numFmtId="166" fontId="14" fillId="2" borderId="5" xfId="0" applyNumberFormat="1" applyFont="1" applyFill="1" applyBorder="1" applyAlignment="1" applyProtection="1">
      <protection locked="0"/>
    </xf>
    <xf numFmtId="43" fontId="19" fillId="2" borderId="17" xfId="1" applyFont="1" applyFill="1" applyBorder="1" applyAlignment="1">
      <alignment horizontal="left" wrapText="1"/>
    </xf>
    <xf numFmtId="166" fontId="14" fillId="2" borderId="5" xfId="0" applyNumberFormat="1" applyFont="1" applyFill="1" applyBorder="1" applyAlignment="1">
      <alignment horizontal="center" wrapText="1"/>
    </xf>
    <xf numFmtId="2" fontId="14" fillId="2" borderId="5" xfId="0" applyNumberFormat="1" applyFont="1" applyFill="1" applyBorder="1" applyAlignment="1" applyProtection="1">
      <alignment horizontal="right"/>
      <protection locked="0"/>
    </xf>
    <xf numFmtId="49" fontId="24" fillId="2" borderId="5" xfId="0" applyNumberFormat="1" applyFont="1" applyFill="1" applyBorder="1" applyAlignment="1">
      <alignment horizontal="center" wrapText="1"/>
    </xf>
    <xf numFmtId="166" fontId="24" fillId="2" borderId="5" xfId="0" applyNumberFormat="1" applyFont="1" applyFill="1" applyBorder="1" applyAlignment="1">
      <alignment horizontal="center" wrapText="1"/>
    </xf>
    <xf numFmtId="43" fontId="14" fillId="2" borderId="5" xfId="1" applyFont="1" applyFill="1" applyBorder="1" applyAlignment="1" applyProtection="1">
      <alignment horizontal="right"/>
      <protection locked="0"/>
    </xf>
    <xf numFmtId="166" fontId="14" fillId="2" borderId="5" xfId="0" applyNumberFormat="1" applyFont="1" applyFill="1" applyBorder="1" applyAlignment="1" applyProtection="1">
      <alignment horizontal="center"/>
      <protection locked="0"/>
    </xf>
    <xf numFmtId="15" fontId="14" fillId="2" borderId="5" xfId="0" applyNumberFormat="1" applyFont="1" applyFill="1" applyBorder="1" applyAlignment="1" applyProtection="1">
      <alignment horizontal="right"/>
      <protection locked="0"/>
    </xf>
    <xf numFmtId="2" fontId="14" fillId="2" borderId="5" xfId="1" applyNumberFormat="1" applyFont="1" applyFill="1" applyBorder="1" applyAlignment="1" applyProtection="1">
      <alignment horizontal="right"/>
      <protection locked="0"/>
    </xf>
    <xf numFmtId="166" fontId="21" fillId="2" borderId="5" xfId="0" applyNumberFormat="1" applyFont="1" applyFill="1" applyBorder="1" applyAlignment="1" applyProtection="1">
      <protection locked="0"/>
    </xf>
    <xf numFmtId="49" fontId="14" fillId="2" borderId="5" xfId="0" applyNumberFormat="1" applyFont="1" applyFill="1" applyBorder="1" applyAlignment="1" applyProtection="1">
      <alignment horizontal="center"/>
      <protection locked="0"/>
    </xf>
    <xf numFmtId="166" fontId="21" fillId="2" borderId="5" xfId="0" applyNumberFormat="1" applyFont="1" applyFill="1" applyBorder="1" applyAlignment="1" applyProtection="1">
      <alignment horizontal="center"/>
      <protection locked="0"/>
    </xf>
    <xf numFmtId="43" fontId="14" fillId="2" borderId="5" xfId="1" applyFont="1" applyFill="1" applyBorder="1" applyAlignment="1" applyProtection="1">
      <alignment horizontal="center"/>
      <protection locked="0"/>
    </xf>
    <xf numFmtId="43" fontId="14" fillId="2" borderId="0" xfId="1" applyFont="1" applyFill="1" applyBorder="1"/>
    <xf numFmtId="2" fontId="14" fillId="2" borderId="5" xfId="1" applyNumberFormat="1" applyFont="1" applyFill="1" applyBorder="1" applyAlignment="1" applyProtection="1">
      <protection locked="0"/>
    </xf>
    <xf numFmtId="0" fontId="18" fillId="2" borderId="5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31" fillId="2" borderId="0" xfId="0" applyNumberFormat="1" applyFont="1" applyFill="1" applyAlignment="1">
      <alignment horizontal="center" vertical="center"/>
    </xf>
    <xf numFmtId="49" fontId="32" fillId="2" borderId="5" xfId="0" applyNumberFormat="1" applyFont="1" applyFill="1" applyBorder="1" applyAlignment="1">
      <alignment horizontal="center" vertical="center"/>
    </xf>
    <xf numFmtId="49" fontId="32" fillId="2" borderId="0" xfId="0" applyNumberFormat="1" applyFont="1" applyFill="1" applyAlignment="1">
      <alignment horizontal="center" vertical="center"/>
    </xf>
    <xf numFmtId="0" fontId="14" fillId="2" borderId="2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165" fontId="18" fillId="2" borderId="5" xfId="0" applyNumberFormat="1" applyFont="1" applyFill="1" applyBorder="1" applyAlignment="1">
      <alignment horizontal="left" vertical="center" wrapText="1"/>
    </xf>
    <xf numFmtId="0" fontId="14" fillId="2" borderId="20" xfId="2" applyNumberFormat="1" applyFont="1" applyFill="1" applyBorder="1" applyAlignment="1" applyProtection="1">
      <alignment vertical="center" wrapText="1"/>
      <protection locked="0"/>
    </xf>
    <xf numFmtId="49" fontId="14" fillId="2" borderId="20" xfId="0" applyNumberFormat="1" applyFont="1" applyFill="1" applyBorder="1" applyAlignment="1" applyProtection="1">
      <alignment vertical="center"/>
      <protection locked="0"/>
    </xf>
    <xf numFmtId="49" fontId="14" fillId="2" borderId="20" xfId="0" applyNumberFormat="1" applyFont="1" applyFill="1" applyBorder="1" applyAlignment="1" applyProtection="1">
      <protection locked="0"/>
    </xf>
    <xf numFmtId="43" fontId="14" fillId="2" borderId="20" xfId="1" applyFont="1" applyFill="1" applyBorder="1" applyAlignment="1"/>
    <xf numFmtId="0" fontId="14" fillId="2" borderId="15" xfId="2" applyNumberFormat="1" applyFont="1" applyFill="1" applyBorder="1" applyAlignment="1" applyProtection="1">
      <alignment vertical="center" wrapText="1"/>
      <protection locked="0"/>
    </xf>
    <xf numFmtId="49" fontId="14" fillId="2" borderId="15" xfId="0" applyNumberFormat="1" applyFont="1" applyFill="1" applyBorder="1" applyAlignment="1" applyProtection="1">
      <alignment vertical="center"/>
      <protection locked="0"/>
    </xf>
    <xf numFmtId="0" fontId="14" fillId="2" borderId="20" xfId="0" applyFont="1" applyFill="1" applyBorder="1" applyAlignment="1">
      <alignment vertical="center" wrapText="1"/>
    </xf>
    <xf numFmtId="43" fontId="14" fillId="2" borderId="20" xfId="1" applyNumberFormat="1" applyFont="1" applyFill="1" applyBorder="1" applyAlignment="1"/>
    <xf numFmtId="43" fontId="14" fillId="2" borderId="20" xfId="1" applyNumberFormat="1" applyFont="1" applyFill="1" applyBorder="1" applyAlignment="1">
      <alignment vertical="center"/>
    </xf>
    <xf numFmtId="43" fontId="14" fillId="2" borderId="20" xfId="1" applyFont="1" applyFill="1" applyBorder="1" applyAlignment="1">
      <alignment vertical="center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5" xfId="2" applyNumberFormat="1" applyFont="1" applyFill="1" applyBorder="1" applyAlignment="1" applyProtection="1">
      <alignment horizontal="center" vertical="center" wrapText="1"/>
      <protection locked="0"/>
    </xf>
    <xf numFmtId="43" fontId="14" fillId="2" borderId="5" xfId="1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right"/>
    </xf>
    <xf numFmtId="49" fontId="1" fillId="2" borderId="0" xfId="0" applyNumberFormat="1" applyFont="1" applyFill="1"/>
    <xf numFmtId="43" fontId="1" fillId="2" borderId="0" xfId="1" applyFont="1" applyFill="1" applyBorder="1" applyAlignment="1" applyProtection="1">
      <alignment vertical="center" wrapText="1"/>
      <protection locked="0"/>
    </xf>
    <xf numFmtId="4" fontId="1" fillId="2" borderId="0" xfId="2" applyNumberFormat="1" applyFont="1" applyFill="1" applyBorder="1" applyAlignment="1" applyProtection="1">
      <alignment vertical="center" wrapText="1"/>
      <protection locked="0"/>
    </xf>
    <xf numFmtId="49" fontId="3" fillId="2" borderId="0" xfId="0" applyNumberFormat="1" applyFont="1" applyFill="1"/>
    <xf numFmtId="49" fontId="4" fillId="2" borderId="0" xfId="0" applyNumberFormat="1" applyFont="1" applyFill="1"/>
    <xf numFmtId="49" fontId="1" fillId="2" borderId="0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/>
    <xf numFmtId="0" fontId="4" fillId="2" borderId="0" xfId="0" applyNumberFormat="1" applyFont="1" applyFill="1"/>
    <xf numFmtId="49" fontId="1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/>
    <xf numFmtId="49" fontId="4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49" fontId="1" fillId="2" borderId="5" xfId="0" applyNumberFormat="1" applyFont="1" applyFill="1" applyBorder="1" applyAlignment="1">
      <alignment horizontal="center" vertical="center" textRotation="90" wrapText="1"/>
    </xf>
    <xf numFmtId="49" fontId="3" fillId="2" borderId="5" xfId="0" applyNumberFormat="1" applyFont="1" applyFill="1" applyBorder="1" applyAlignment="1">
      <alignment horizontal="center" vertical="center" textRotation="90" wrapText="1"/>
    </xf>
    <xf numFmtId="49" fontId="1" fillId="2" borderId="6" xfId="0" applyNumberFormat="1" applyFont="1" applyFill="1" applyBorder="1" applyAlignment="1">
      <alignment horizontal="center" vertical="center" textRotation="90"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4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1" fillId="2" borderId="6" xfId="0" applyNumberFormat="1" applyFont="1" applyFill="1" applyBorder="1" applyAlignment="1"/>
    <xf numFmtId="4" fontId="1" fillId="2" borderId="5" xfId="0" applyNumberFormat="1" applyFont="1" applyFill="1" applyBorder="1" applyAlignment="1" applyProtection="1">
      <protection locked="0"/>
    </xf>
    <xf numFmtId="165" fontId="1" fillId="2" borderId="5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4" fillId="2" borderId="5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165" fontId="1" fillId="2" borderId="6" xfId="0" applyNumberFormat="1" applyFont="1" applyFill="1" applyBorder="1" applyAlignment="1"/>
    <xf numFmtId="165" fontId="9" fillId="2" borderId="5" xfId="0" applyNumberFormat="1" applyFont="1" applyFill="1" applyBorder="1" applyAlignment="1"/>
    <xf numFmtId="165" fontId="10" fillId="2" borderId="5" xfId="0" applyNumberFormat="1" applyFont="1" applyFill="1" applyBorder="1" applyAlignment="1"/>
    <xf numFmtId="49" fontId="37" fillId="2" borderId="5" xfId="0" applyNumberFormat="1" applyFont="1" applyFill="1" applyBorder="1" applyAlignment="1">
      <alignment horizontal="center" wrapText="1"/>
    </xf>
    <xf numFmtId="165" fontId="37" fillId="2" borderId="5" xfId="0" applyNumberFormat="1" applyFont="1" applyFill="1" applyBorder="1" applyAlignment="1"/>
    <xf numFmtId="165" fontId="38" fillId="2" borderId="5" xfId="0" applyNumberFormat="1" applyFont="1" applyFill="1" applyBorder="1" applyAlignment="1"/>
    <xf numFmtId="4" fontId="37" fillId="2" borderId="5" xfId="0" applyNumberFormat="1" applyFont="1" applyFill="1" applyBorder="1" applyAlignment="1" applyProtection="1">
      <protection locked="0"/>
    </xf>
    <xf numFmtId="165" fontId="39" fillId="2" borderId="5" xfId="0" applyNumberFormat="1" applyFont="1" applyFill="1" applyBorder="1" applyAlignment="1"/>
    <xf numFmtId="165" fontId="37" fillId="2" borderId="6" xfId="0" applyNumberFormat="1" applyFont="1" applyFill="1" applyBorder="1" applyAlignment="1"/>
    <xf numFmtId="49" fontId="10" fillId="2" borderId="0" xfId="0" applyNumberFormat="1" applyFont="1" applyFill="1"/>
    <xf numFmtId="49" fontId="37" fillId="2" borderId="5" xfId="0" applyNumberFormat="1" applyFont="1" applyFill="1" applyBorder="1" applyAlignment="1"/>
    <xf numFmtId="4" fontId="37" fillId="2" borderId="5" xfId="0" applyNumberFormat="1" applyFont="1" applyFill="1" applyBorder="1" applyAlignment="1"/>
    <xf numFmtId="49" fontId="3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37" fillId="2" borderId="0" xfId="0" applyNumberFormat="1" applyFont="1" applyFill="1"/>
    <xf numFmtId="49" fontId="40" fillId="2" borderId="5" xfId="0" applyNumberFormat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wrapText="1"/>
    </xf>
    <xf numFmtId="4" fontId="10" fillId="2" borderId="5" xfId="0" applyNumberFormat="1" applyFont="1" applyFill="1" applyBorder="1" applyAlignment="1" applyProtection="1">
      <protection locked="0"/>
    </xf>
    <xf numFmtId="49" fontId="1" fillId="2" borderId="5" xfId="0" applyNumberFormat="1" applyFont="1" applyFill="1" applyBorder="1" applyAlignment="1">
      <alignment wrapText="1"/>
    </xf>
    <xf numFmtId="4" fontId="1" fillId="2" borderId="5" xfId="0" applyNumberFormat="1" applyFont="1" applyFill="1" applyBorder="1"/>
    <xf numFmtId="49" fontId="1" fillId="2" borderId="5" xfId="0" applyNumberFormat="1" applyFont="1" applyFill="1" applyBorder="1"/>
    <xf numFmtId="49" fontId="1" fillId="2" borderId="0" xfId="0" applyNumberFormat="1" applyFont="1" applyFill="1" applyBorder="1" applyAlignment="1"/>
    <xf numFmtId="43" fontId="1" fillId="2" borderId="5" xfId="1" applyFont="1" applyFill="1" applyBorder="1"/>
    <xf numFmtId="49" fontId="1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49" fontId="14" fillId="2" borderId="0" xfId="0" applyNumberFormat="1" applyFont="1" applyFill="1" applyBorder="1" applyAlignment="1">
      <alignment vertical="center" wrapText="1"/>
    </xf>
    <xf numFmtId="49" fontId="14" fillId="2" borderId="0" xfId="0" applyNumberFormat="1" applyFont="1" applyFill="1" applyAlignment="1">
      <alignment horizontal="center" vertical="center"/>
    </xf>
    <xf numFmtId="15" fontId="14" fillId="2" borderId="0" xfId="0" applyNumberFormat="1" applyFont="1" applyFill="1"/>
    <xf numFmtId="2" fontId="14" fillId="2" borderId="0" xfId="0" applyNumberFormat="1" applyFont="1" applyFill="1"/>
    <xf numFmtId="43" fontId="14" fillId="2" borderId="0" xfId="1" applyFont="1" applyFill="1" applyAlignment="1">
      <alignment horizontal="left"/>
    </xf>
    <xf numFmtId="49" fontId="15" fillId="2" borderId="0" xfId="0" applyNumberFormat="1" applyFont="1" applyFill="1" applyBorder="1" applyAlignment="1"/>
    <xf numFmtId="43" fontId="14" fillId="2" borderId="0" xfId="0" applyNumberFormat="1" applyFont="1" applyFill="1"/>
    <xf numFmtId="2" fontId="14" fillId="2" borderId="0" xfId="0" applyNumberFormat="1" applyFont="1" applyFill="1" applyAlignment="1">
      <alignment horizontal="right"/>
    </xf>
    <xf numFmtId="49" fontId="14" fillId="2" borderId="0" xfId="0" applyNumberFormat="1" applyFont="1" applyFill="1" applyAlignment="1">
      <alignment horizontal="right"/>
    </xf>
    <xf numFmtId="49" fontId="14" fillId="2" borderId="0" xfId="0" applyNumberFormat="1" applyFont="1" applyFill="1" applyBorder="1" applyAlignment="1"/>
    <xf numFmtId="49" fontId="16" fillId="2" borderId="0" xfId="0" applyNumberFormat="1" applyFont="1" applyFill="1" applyBorder="1" applyAlignment="1"/>
    <xf numFmtId="49" fontId="14" fillId="2" borderId="10" xfId="0" applyNumberFormat="1" applyFont="1" applyFill="1" applyBorder="1" applyAlignment="1"/>
    <xf numFmtId="49" fontId="14" fillId="2" borderId="2" xfId="0" applyNumberFormat="1" applyFont="1" applyFill="1" applyBorder="1" applyAlignment="1">
      <alignment horizontal="center" vertical="center" wrapText="1"/>
    </xf>
    <xf numFmtId="43" fontId="14" fillId="2" borderId="5" xfId="1" applyNumberFormat="1" applyFont="1" applyFill="1" applyBorder="1" applyAlignment="1">
      <alignment horizontal="center" vertical="center" textRotation="90" wrapText="1"/>
    </xf>
    <xf numFmtId="15" fontId="14" fillId="2" borderId="5" xfId="0" applyNumberFormat="1" applyFont="1" applyFill="1" applyBorder="1" applyAlignment="1">
      <alignment horizontal="center" vertical="center" textRotation="90" wrapText="1"/>
    </xf>
    <xf numFmtId="2" fontId="14" fillId="2" borderId="5" xfId="0" applyNumberFormat="1" applyFont="1" applyFill="1" applyBorder="1" applyAlignment="1">
      <alignment horizontal="center" vertical="center" textRotation="90" wrapText="1"/>
    </xf>
    <xf numFmtId="43" fontId="14" fillId="2" borderId="6" xfId="1" applyFont="1" applyFill="1" applyBorder="1" applyAlignment="1">
      <alignment horizontal="left" vertical="center" textRotation="90" wrapText="1"/>
    </xf>
    <xf numFmtId="49" fontId="14" fillId="2" borderId="4" xfId="0" applyNumberFormat="1" applyFont="1" applyFill="1" applyBorder="1" applyAlignment="1">
      <alignment wrapText="1"/>
    </xf>
    <xf numFmtId="49" fontId="14" fillId="2" borderId="5" xfId="0" applyNumberFormat="1" applyFont="1" applyFill="1" applyBorder="1" applyAlignment="1">
      <alignment vertical="center"/>
    </xf>
    <xf numFmtId="43" fontId="14" fillId="2" borderId="5" xfId="1" applyNumberFormat="1" applyFont="1" applyFill="1" applyBorder="1" applyAlignment="1"/>
    <xf numFmtId="49" fontId="14" fillId="2" borderId="5" xfId="0" applyNumberFormat="1" applyFont="1" applyFill="1" applyBorder="1" applyAlignment="1">
      <alignment horizontal="center" vertical="center"/>
    </xf>
    <xf numFmtId="15" fontId="14" fillId="2" borderId="5" xfId="0" applyNumberFormat="1" applyFont="1" applyFill="1" applyBorder="1" applyAlignment="1"/>
    <xf numFmtId="2" fontId="14" fillId="2" borderId="5" xfId="0" applyNumberFormat="1" applyFont="1" applyFill="1" applyBorder="1" applyAlignment="1"/>
    <xf numFmtId="43" fontId="14" fillId="2" borderId="6" xfId="1" applyFont="1" applyFill="1" applyBorder="1" applyAlignment="1">
      <alignment horizontal="left"/>
    </xf>
    <xf numFmtId="43" fontId="14" fillId="2" borderId="0" xfId="1" applyFont="1" applyFill="1"/>
    <xf numFmtId="49" fontId="14" fillId="2" borderId="5" xfId="0" applyNumberFormat="1" applyFont="1" applyFill="1" applyBorder="1" applyAlignment="1" applyProtection="1">
      <alignment horizontal="right"/>
      <protection locked="0"/>
    </xf>
    <xf numFmtId="43" fontId="14" fillId="2" borderId="5" xfId="1" applyFont="1" applyFill="1" applyBorder="1" applyAlignment="1" applyProtection="1">
      <alignment horizontal="left"/>
      <protection locked="0"/>
    </xf>
    <xf numFmtId="165" fontId="14" fillId="2" borderId="5" xfId="0" applyNumberFormat="1" applyFont="1" applyFill="1" applyBorder="1" applyAlignment="1" applyProtection="1">
      <alignment horizontal="right"/>
      <protection locked="0"/>
    </xf>
    <xf numFmtId="15" fontId="21" fillId="2" borderId="5" xfId="0" applyNumberFormat="1" applyFont="1" applyFill="1" applyBorder="1" applyAlignment="1" applyProtection="1">
      <alignment horizontal="center"/>
      <protection locked="0"/>
    </xf>
    <xf numFmtId="0" fontId="22" fillId="2" borderId="4" xfId="2" applyNumberFormat="1" applyFont="1" applyFill="1" applyBorder="1" applyAlignment="1" applyProtection="1">
      <alignment vertical="center" wrapText="1"/>
      <protection locked="0"/>
    </xf>
    <xf numFmtId="15" fontId="14" fillId="2" borderId="5" xfId="0" applyNumberFormat="1" applyFont="1" applyFill="1" applyBorder="1" applyAlignment="1" applyProtection="1">
      <alignment wrapText="1"/>
      <protection locked="0"/>
    </xf>
    <xf numFmtId="15" fontId="18" fillId="2" borderId="5" xfId="0" applyNumberFormat="1" applyFont="1" applyFill="1" applyBorder="1" applyAlignment="1">
      <alignment horizontal="center" vertical="center" wrapText="1"/>
    </xf>
    <xf numFmtId="15" fontId="14" fillId="2" borderId="0" xfId="0" applyNumberFormat="1" applyFont="1" applyFill="1" applyBorder="1"/>
    <xf numFmtId="14" fontId="14" fillId="2" borderId="5" xfId="0" applyNumberFormat="1" applyFont="1" applyFill="1" applyBorder="1" applyAlignment="1" applyProtection="1">
      <protection locked="0"/>
    </xf>
    <xf numFmtId="165" fontId="14" fillId="2" borderId="0" xfId="0" applyNumberFormat="1" applyFont="1" applyFill="1"/>
    <xf numFmtId="165" fontId="21" fillId="2" borderId="5" xfId="0" applyNumberFormat="1" applyFont="1" applyFill="1" applyBorder="1" applyAlignment="1" applyProtection="1">
      <protection locked="0"/>
    </xf>
    <xf numFmtId="165" fontId="14" fillId="2" borderId="5" xfId="1" applyNumberFormat="1" applyFont="1" applyFill="1" applyBorder="1" applyAlignment="1" applyProtection="1">
      <protection locked="0"/>
    </xf>
    <xf numFmtId="166" fontId="14" fillId="2" borderId="5" xfId="0" applyNumberFormat="1" applyFont="1" applyFill="1" applyBorder="1" applyAlignment="1"/>
    <xf numFmtId="49" fontId="14" fillId="2" borderId="0" xfId="0" applyNumberFormat="1" applyFont="1" applyFill="1" applyAlignment="1">
      <alignment wrapText="1"/>
    </xf>
    <xf numFmtId="49" fontId="14" fillId="2" borderId="0" xfId="0" applyNumberFormat="1" applyFont="1" applyFill="1" applyAlignment="1">
      <alignment vertical="center"/>
    </xf>
    <xf numFmtId="43" fontId="14" fillId="2" borderId="0" xfId="1" applyNumberFormat="1" applyFont="1" applyFill="1"/>
    <xf numFmtId="49" fontId="29" fillId="2" borderId="0" xfId="0" applyNumberFormat="1" applyFont="1" applyFill="1" applyBorder="1" applyAlignment="1">
      <alignment vertical="center"/>
    </xf>
    <xf numFmtId="49" fontId="20" fillId="2" borderId="0" xfId="0" applyNumberFormat="1" applyFont="1" applyFill="1"/>
    <xf numFmtId="49" fontId="27" fillId="2" borderId="29" xfId="0" applyNumberFormat="1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center"/>
    </xf>
    <xf numFmtId="49" fontId="27" fillId="2" borderId="25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2" borderId="6" xfId="0" applyNumberFormat="1" applyFont="1" applyFill="1" applyBorder="1" applyAlignment="1" applyProtection="1">
      <alignment horizontal="center" vertical="center"/>
      <protection locked="0"/>
    </xf>
    <xf numFmtId="49" fontId="35" fillId="2" borderId="0" xfId="0" applyNumberFormat="1" applyFont="1" applyFill="1"/>
    <xf numFmtId="49" fontId="35" fillId="2" borderId="0" xfId="0" applyNumberFormat="1" applyFont="1" applyFill="1" applyBorder="1"/>
    <xf numFmtId="0" fontId="19" fillId="2" borderId="0" xfId="0" applyNumberFormat="1" applyFont="1" applyFill="1" applyBorder="1" applyAlignment="1">
      <alignment horizontal="right" vertical="center"/>
    </xf>
    <xf numFmtId="49" fontId="19" fillId="2" borderId="32" xfId="0" applyNumberFormat="1" applyFont="1" applyFill="1" applyBorder="1" applyAlignment="1">
      <alignment horizontal="center" vertical="center"/>
    </xf>
    <xf numFmtId="165" fontId="32" fillId="2" borderId="5" xfId="0" applyNumberFormat="1" applyFont="1" applyFill="1" applyBorder="1" applyAlignment="1">
      <alignment horizontal="center" vertical="center"/>
    </xf>
    <xf numFmtId="49" fontId="34" fillId="2" borderId="0" xfId="0" applyNumberFormat="1" applyFont="1" applyFill="1" applyAlignment="1">
      <alignment horizontal="center" vertical="center"/>
    </xf>
    <xf numFmtId="49" fontId="27" fillId="2" borderId="0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Alignment="1">
      <alignment horizontal="center" vertical="center"/>
    </xf>
    <xf numFmtId="15" fontId="18" fillId="2" borderId="5" xfId="0" applyNumberFormat="1" applyFont="1" applyFill="1" applyBorder="1" applyAlignment="1" applyProtection="1">
      <alignment horizontal="center" vertical="center"/>
      <protection locked="0"/>
    </xf>
    <xf numFmtId="4" fontId="18" fillId="2" borderId="6" xfId="0" applyNumberFormat="1" applyFont="1" applyFill="1" applyBorder="1" applyAlignment="1" applyProtection="1">
      <alignment horizontal="center" vertical="center"/>
      <protection locked="0"/>
    </xf>
    <xf numFmtId="165" fontId="18" fillId="2" borderId="5" xfId="0" applyNumberFormat="1" applyFont="1" applyFill="1" applyBorder="1" applyAlignment="1" applyProtection="1">
      <alignment horizontal="center" vertical="center"/>
      <protection locked="0"/>
    </xf>
    <xf numFmtId="165" fontId="18" fillId="2" borderId="5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 vertical="center"/>
      <protection locked="0"/>
    </xf>
    <xf numFmtId="15" fontId="21" fillId="2" borderId="5" xfId="0" applyNumberFormat="1" applyFont="1" applyFill="1" applyBorder="1" applyAlignment="1" applyProtection="1">
      <alignment horizontal="center" vertical="center"/>
      <protection locked="0"/>
    </xf>
    <xf numFmtId="165" fontId="21" fillId="2" borderId="5" xfId="0" applyNumberFormat="1" applyFont="1" applyFill="1" applyBorder="1" applyAlignment="1" applyProtection="1">
      <alignment horizontal="center"/>
      <protection locked="0"/>
    </xf>
    <xf numFmtId="49" fontId="21" fillId="2" borderId="5" xfId="0" applyNumberFormat="1" applyFont="1" applyFill="1" applyBorder="1" applyAlignment="1">
      <alignment horizontal="center" wrapText="1"/>
    </xf>
    <xf numFmtId="43" fontId="21" fillId="2" borderId="5" xfId="1" applyFont="1" applyFill="1" applyBorder="1" applyAlignment="1" applyProtection="1">
      <protection locked="0"/>
    </xf>
    <xf numFmtId="15" fontId="21" fillId="2" borderId="5" xfId="0" applyNumberFormat="1" applyFont="1" applyFill="1" applyBorder="1" applyAlignment="1"/>
    <xf numFmtId="43" fontId="18" fillId="2" borderId="5" xfId="1" applyFont="1" applyFill="1" applyBorder="1"/>
    <xf numFmtId="49" fontId="17" fillId="2" borderId="0" xfId="0" applyNumberFormat="1" applyFont="1" applyFill="1" applyBorder="1" applyAlignment="1">
      <alignment vertical="center"/>
    </xf>
    <xf numFmtId="49" fontId="30" fillId="2" borderId="5" xfId="0" applyNumberFormat="1" applyFont="1" applyFill="1" applyBorder="1" applyAlignment="1" applyProtection="1">
      <alignment horizontal="center" vertical="center"/>
      <protection locked="0"/>
    </xf>
    <xf numFmtId="15" fontId="30" fillId="2" borderId="5" xfId="0" applyNumberFormat="1" applyFont="1" applyFill="1" applyBorder="1" applyAlignment="1" applyProtection="1">
      <alignment horizontal="center" vertical="center"/>
      <protection locked="0"/>
    </xf>
    <xf numFmtId="49" fontId="34" fillId="2" borderId="5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35" fillId="2" borderId="0" xfId="0" applyNumberFormat="1" applyFont="1" applyFill="1" applyAlignment="1">
      <alignment horizontal="center" vertical="center"/>
    </xf>
    <xf numFmtId="49" fontId="29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42" fillId="2" borderId="0" xfId="0" applyFont="1" applyFill="1"/>
    <xf numFmtId="49" fontId="17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Alignment="1">
      <alignment horizontal="center" vertical="center"/>
    </xf>
    <xf numFmtId="49" fontId="34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center" vertical="center" wrapText="1"/>
    </xf>
    <xf numFmtId="43" fontId="26" fillId="2" borderId="0" xfId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49" fontId="44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19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2" applyNumberFormat="1" applyFont="1" applyFill="1" applyBorder="1" applyAlignment="1" applyProtection="1">
      <alignment horizontal="center" vertical="center" wrapText="1"/>
      <protection locked="0"/>
    </xf>
    <xf numFmtId="49" fontId="1" fillId="2" borderId="18" xfId="0" applyNumberFormat="1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0" fontId="1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2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/>
      <protection locked="0"/>
    </xf>
    <xf numFmtId="14" fontId="32" fillId="2" borderId="5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4" fontId="26" fillId="2" borderId="5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 wrapText="1"/>
    </xf>
    <xf numFmtId="4" fontId="26" fillId="2" borderId="5" xfId="0" applyNumberFormat="1" applyFont="1" applyFill="1" applyBorder="1" applyAlignment="1" applyProtection="1">
      <alignment horizontal="center" vertical="center"/>
      <protection locked="0"/>
    </xf>
    <xf numFmtId="4" fontId="26" fillId="2" borderId="6" xfId="0" applyNumberFormat="1" applyFont="1" applyFill="1" applyBorder="1" applyAlignment="1" applyProtection="1">
      <alignment horizontal="center" vertical="center"/>
      <protection locked="0"/>
    </xf>
    <xf numFmtId="49" fontId="26" fillId="2" borderId="6" xfId="0" applyNumberFormat="1" applyFont="1" applyFill="1" applyBorder="1" applyAlignment="1" applyProtection="1">
      <alignment horizontal="center" vertical="center"/>
      <protection locked="0"/>
    </xf>
    <xf numFmtId="165" fontId="26" fillId="2" borderId="5" xfId="0" applyNumberFormat="1" applyFont="1" applyFill="1" applyBorder="1" applyAlignment="1" applyProtection="1">
      <alignment horizontal="center" vertical="center"/>
      <protection locked="0"/>
    </xf>
    <xf numFmtId="49" fontId="33" fillId="2" borderId="0" xfId="0" applyNumberFormat="1" applyFont="1" applyFill="1" applyAlignment="1">
      <alignment vertical="center"/>
    </xf>
    <xf numFmtId="2" fontId="34" fillId="2" borderId="0" xfId="0" applyNumberFormat="1" applyFont="1" applyFill="1" applyAlignment="1">
      <alignment horizontal="right" vertical="center"/>
    </xf>
    <xf numFmtId="49" fontId="30" fillId="2" borderId="0" xfId="0" applyNumberFormat="1" applyFont="1" applyFill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center" vertical="center" wrapText="1"/>
    </xf>
    <xf numFmtId="4" fontId="30" fillId="2" borderId="5" xfId="0" applyNumberFormat="1" applyFont="1" applyFill="1" applyBorder="1" applyAlignment="1" applyProtection="1">
      <alignment horizontal="center" vertical="center"/>
      <protection locked="0"/>
    </xf>
    <xf numFmtId="4" fontId="30" fillId="2" borderId="6" xfId="0" applyNumberFormat="1" applyFont="1" applyFill="1" applyBorder="1" applyAlignment="1" applyProtection="1">
      <alignment horizontal="center" vertical="center"/>
      <protection locked="0"/>
    </xf>
    <xf numFmtId="49" fontId="30" fillId="2" borderId="6" xfId="0" applyNumberFormat="1" applyFont="1" applyFill="1" applyBorder="1" applyAlignment="1" applyProtection="1">
      <alignment horizontal="center" vertical="center"/>
      <protection locked="0"/>
    </xf>
    <xf numFmtId="15" fontId="30" fillId="2" borderId="5" xfId="0" applyNumberFormat="1" applyFont="1" applyFill="1" applyBorder="1" applyAlignment="1">
      <alignment horizontal="center" vertical="center"/>
    </xf>
    <xf numFmtId="15" fontId="30" fillId="2" borderId="5" xfId="0" applyNumberFormat="1" applyFont="1" applyFill="1" applyBorder="1" applyAlignment="1">
      <alignment horizontal="center"/>
    </xf>
    <xf numFmtId="165" fontId="30" fillId="2" borderId="5" xfId="0" applyNumberFormat="1" applyFont="1" applyFill="1" applyBorder="1" applyAlignment="1" applyProtection="1">
      <alignment horizontal="center" vertical="center"/>
      <protection locked="0"/>
    </xf>
    <xf numFmtId="15" fontId="17" fillId="2" borderId="5" xfId="0" applyNumberFormat="1" applyFont="1" applyFill="1" applyBorder="1" applyAlignment="1" applyProtection="1">
      <alignment horizontal="center" vertical="center"/>
      <protection locked="0"/>
    </xf>
    <xf numFmtId="49" fontId="46" fillId="2" borderId="5" xfId="0" applyNumberFormat="1" applyFont="1" applyFill="1" applyBorder="1" applyAlignment="1">
      <alignment horizontal="center" vertical="center" wrapText="1"/>
    </xf>
    <xf numFmtId="49" fontId="46" fillId="2" borderId="5" xfId="0" applyNumberFormat="1" applyFont="1" applyFill="1" applyBorder="1" applyAlignment="1">
      <alignment horizontal="center" vertical="center"/>
    </xf>
    <xf numFmtId="43" fontId="46" fillId="2" borderId="5" xfId="1" applyFont="1" applyFill="1" applyBorder="1" applyAlignment="1">
      <alignment horizontal="center" vertical="center"/>
    </xf>
    <xf numFmtId="49" fontId="47" fillId="2" borderId="0" xfId="0" applyNumberFormat="1" applyFont="1" applyFill="1" applyAlignment="1">
      <alignment horizontal="center" vertical="center"/>
    </xf>
    <xf numFmtId="49" fontId="34" fillId="2" borderId="0" xfId="0" applyNumberFormat="1" applyFont="1" applyFill="1" applyAlignment="1">
      <alignment horizontal="left" vertical="center"/>
    </xf>
    <xf numFmtId="0" fontId="48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48" fillId="2" borderId="0" xfId="0" applyNumberFormat="1" applyFont="1" applyFill="1" applyBorder="1" applyAlignment="1">
      <alignment horizontal="center" vertical="center"/>
    </xf>
    <xf numFmtId="4" fontId="48" fillId="2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 applyAlignment="1">
      <alignment horizontal="center" vertical="center" wrapText="1"/>
    </xf>
    <xf numFmtId="49" fontId="33" fillId="2" borderId="0" xfId="0" applyNumberFormat="1" applyFont="1" applyFill="1" applyBorder="1" applyAlignment="1">
      <alignment horizontal="center" vertical="center" textRotation="90"/>
    </xf>
    <xf numFmtId="49" fontId="33" fillId="2" borderId="0" xfId="0" applyNumberFormat="1" applyFont="1" applyFill="1" applyBorder="1" applyAlignment="1">
      <alignment horizontal="center" vertical="center" textRotation="90" wrapText="1"/>
    </xf>
    <xf numFmtId="49" fontId="34" fillId="2" borderId="0" xfId="0" applyNumberFormat="1" applyFont="1" applyFill="1" applyBorder="1" applyAlignment="1">
      <alignment horizontal="center" vertical="center" wrapText="1"/>
    </xf>
    <xf numFmtId="165" fontId="34" fillId="2" borderId="0" xfId="0" applyNumberFormat="1" applyFont="1" applyFill="1" applyBorder="1" applyAlignment="1" applyProtection="1">
      <alignment horizontal="center" vertical="center"/>
      <protection locked="0"/>
    </xf>
    <xf numFmtId="4" fontId="34" fillId="2" borderId="0" xfId="0" applyNumberFormat="1" applyFont="1" applyFill="1" applyBorder="1" applyAlignment="1" applyProtection="1">
      <alignment horizontal="center" vertical="center"/>
      <protection locked="0"/>
    </xf>
    <xf numFmtId="49" fontId="34" fillId="2" borderId="0" xfId="0" applyNumberFormat="1" applyFont="1" applyFill="1" applyBorder="1" applyAlignment="1" applyProtection="1">
      <alignment horizontal="center" vertical="center"/>
      <protection locked="0"/>
    </xf>
    <xf numFmtId="4" fontId="34" fillId="2" borderId="0" xfId="0" applyNumberFormat="1" applyFont="1" applyFill="1" applyBorder="1" applyAlignment="1">
      <alignment horizontal="center" vertical="center"/>
    </xf>
    <xf numFmtId="49" fontId="34" fillId="2" borderId="0" xfId="0" applyNumberFormat="1" applyFont="1" applyFill="1" applyBorder="1" applyAlignment="1" applyProtection="1">
      <alignment horizontal="center" vertical="center" wrapText="1"/>
      <protection locked="0"/>
    </xf>
    <xf numFmtId="15" fontId="34" fillId="2" borderId="0" xfId="2" applyNumberFormat="1" applyFont="1" applyFill="1" applyBorder="1" applyAlignment="1" applyProtection="1">
      <alignment horizontal="center" vertical="center"/>
      <protection locked="0"/>
    </xf>
    <xf numFmtId="4" fontId="49" fillId="2" borderId="0" xfId="0" applyNumberFormat="1" applyFont="1" applyFill="1" applyBorder="1" applyAlignment="1" applyProtection="1">
      <alignment horizontal="center" vertical="center"/>
      <protection locked="0"/>
    </xf>
    <xf numFmtId="4" fontId="33" fillId="2" borderId="0" xfId="0" applyNumberFormat="1" applyFont="1" applyFill="1" applyBorder="1" applyAlignment="1" applyProtection="1">
      <alignment horizontal="center" vertical="center"/>
      <protection locked="0"/>
    </xf>
    <xf numFmtId="49" fontId="34" fillId="2" borderId="23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right" vertical="center"/>
    </xf>
    <xf numFmtId="49" fontId="29" fillId="2" borderId="0" xfId="0" applyNumberFormat="1" applyFont="1" applyFill="1" applyBorder="1" applyAlignment="1">
      <alignment horizontal="left" vertical="center"/>
    </xf>
    <xf numFmtId="49" fontId="29" fillId="2" borderId="5" xfId="0" applyNumberFormat="1" applyFont="1" applyFill="1" applyBorder="1" applyAlignment="1">
      <alignment horizontal="center" vertical="center" textRotation="90" wrapText="1"/>
    </xf>
    <xf numFmtId="49" fontId="29" fillId="2" borderId="6" xfId="0" applyNumberFormat="1" applyFont="1" applyFill="1" applyBorder="1" applyAlignment="1">
      <alignment horizontal="center" vertical="center" textRotation="90" wrapText="1"/>
    </xf>
    <xf numFmtId="49" fontId="26" fillId="2" borderId="14" xfId="0" applyNumberFormat="1" applyFont="1" applyFill="1" applyBorder="1" applyAlignment="1">
      <alignment vertical="center" wrapText="1"/>
    </xf>
    <xf numFmtId="49" fontId="26" fillId="2" borderId="17" xfId="0" applyNumberFormat="1" applyFont="1" applyFill="1" applyBorder="1" applyAlignment="1">
      <alignment vertical="center" wrapText="1"/>
    </xf>
    <xf numFmtId="15" fontId="26" fillId="2" borderId="5" xfId="2" applyNumberFormat="1" applyFont="1" applyFill="1" applyBorder="1" applyAlignment="1" applyProtection="1">
      <alignment horizontal="center" vertical="center"/>
      <protection locked="0"/>
    </xf>
    <xf numFmtId="49" fontId="26" fillId="2" borderId="5" xfId="0" applyNumberFormat="1" applyFont="1" applyFill="1" applyBorder="1" applyAlignment="1" applyProtection="1">
      <alignment horizontal="center" vertical="center" textRotation="90"/>
      <protection locked="0"/>
    </xf>
    <xf numFmtId="165" fontId="26" fillId="2" borderId="5" xfId="0" applyNumberFormat="1" applyFont="1" applyFill="1" applyBorder="1" applyAlignment="1" applyProtection="1">
      <alignment horizontal="center" vertical="center" textRotation="90"/>
      <protection locked="0"/>
    </xf>
    <xf numFmtId="4" fontId="26" fillId="2" borderId="8" xfId="0" applyNumberFormat="1" applyFont="1" applyFill="1" applyBorder="1" applyAlignment="1" applyProtection="1">
      <alignment horizontal="center" vertical="center"/>
      <protection locked="0"/>
    </xf>
    <xf numFmtId="49" fontId="26" fillId="2" borderId="8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 wrapText="1"/>
    </xf>
    <xf numFmtId="4" fontId="29" fillId="2" borderId="8" xfId="0" applyNumberFormat="1" applyFont="1" applyFill="1" applyBorder="1" applyAlignment="1" applyProtection="1">
      <alignment horizontal="center" vertical="center"/>
      <protection locked="0"/>
    </xf>
    <xf numFmtId="4" fontId="29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textRotation="90" wrapText="1"/>
    </xf>
    <xf numFmtId="49" fontId="1" fillId="2" borderId="5" xfId="0" applyNumberFormat="1" applyFont="1" applyFill="1" applyBorder="1" applyAlignment="1">
      <alignment horizontal="center" vertical="center" textRotation="90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5" fontId="37" fillId="2" borderId="5" xfId="0" applyNumberFormat="1" applyFont="1" applyFill="1" applyBorder="1" applyAlignment="1">
      <alignment horizontal="center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165" fontId="1" fillId="2" borderId="5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center" wrapText="1"/>
    </xf>
    <xf numFmtId="166" fontId="1" fillId="3" borderId="5" xfId="0" applyNumberFormat="1" applyFont="1" applyFill="1" applyBorder="1" applyAlignment="1"/>
    <xf numFmtId="166" fontId="1" fillId="3" borderId="5" xfId="0" applyNumberFormat="1" applyFont="1" applyFill="1" applyBorder="1" applyAlignment="1">
      <alignment horizontal="center"/>
    </xf>
    <xf numFmtId="166" fontId="3" fillId="3" borderId="5" xfId="0" applyNumberFormat="1" applyFont="1" applyFill="1" applyBorder="1" applyAlignment="1"/>
    <xf numFmtId="4" fontId="1" fillId="3" borderId="5" xfId="0" applyNumberFormat="1" applyFont="1" applyFill="1" applyBorder="1" applyAlignment="1" applyProtection="1">
      <protection locked="0"/>
    </xf>
    <xf numFmtId="165" fontId="8" fillId="3" borderId="5" xfId="0" applyNumberFormat="1" applyFont="1" applyFill="1" applyBorder="1" applyAlignment="1" applyProtection="1">
      <alignment horizontal="center"/>
      <protection locked="0"/>
    </xf>
    <xf numFmtId="165" fontId="4" fillId="3" borderId="5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/>
    <xf numFmtId="165" fontId="10" fillId="3" borderId="5" xfId="0" applyNumberFormat="1" applyFont="1" applyFill="1" applyBorder="1" applyAlignment="1"/>
    <xf numFmtId="165" fontId="10" fillId="3" borderId="6" xfId="0" applyNumberFormat="1" applyFont="1" applyFill="1" applyBorder="1" applyAlignment="1"/>
    <xf numFmtId="49" fontId="14" fillId="3" borderId="5" xfId="0" applyNumberFormat="1" applyFont="1" applyFill="1" applyBorder="1" applyAlignment="1">
      <alignment horizontal="center" wrapText="1"/>
    </xf>
    <xf numFmtId="15" fontId="14" fillId="3" borderId="5" xfId="0" applyNumberFormat="1" applyFont="1" applyFill="1" applyBorder="1" applyAlignment="1" applyProtection="1">
      <alignment horizontal="center"/>
      <protection locked="0"/>
    </xf>
    <xf numFmtId="167" fontId="14" fillId="3" borderId="5" xfId="0" applyNumberFormat="1" applyFont="1" applyFill="1" applyBorder="1" applyAlignment="1" applyProtection="1">
      <protection locked="0"/>
    </xf>
    <xf numFmtId="15" fontId="14" fillId="3" borderId="5" xfId="0" applyNumberFormat="1" applyFont="1" applyFill="1" applyBorder="1" applyAlignment="1" applyProtection="1">
      <alignment horizontal="center" vertical="center"/>
      <protection locked="0"/>
    </xf>
    <xf numFmtId="2" fontId="14" fillId="3" borderId="5" xfId="0" applyNumberFormat="1" applyFont="1" applyFill="1" applyBorder="1" applyAlignment="1" applyProtection="1">
      <protection locked="0"/>
    </xf>
    <xf numFmtId="49" fontId="14" fillId="3" borderId="5" xfId="0" applyNumberFormat="1" applyFont="1" applyFill="1" applyBorder="1" applyAlignment="1" applyProtection="1">
      <protection locked="0"/>
    </xf>
    <xf numFmtId="15" fontId="21" fillId="3" borderId="5" xfId="0" applyNumberFormat="1" applyFont="1" applyFill="1" applyBorder="1" applyAlignment="1" applyProtection="1">
      <protection locked="0"/>
    </xf>
    <xf numFmtId="43" fontId="14" fillId="3" borderId="6" xfId="1" applyFont="1" applyFill="1" applyBorder="1" applyAlignment="1" applyProtection="1">
      <alignment horizontal="left"/>
      <protection locked="0"/>
    </xf>
    <xf numFmtId="15" fontId="18" fillId="0" borderId="5" xfId="0" applyNumberFormat="1" applyFont="1" applyBorder="1"/>
    <xf numFmtId="15" fontId="28" fillId="0" borderId="5" xfId="0" applyNumberFormat="1" applyFont="1" applyBorder="1"/>
    <xf numFmtId="15" fontId="18" fillId="0" borderId="18" xfId="0" applyNumberFormat="1" applyFont="1" applyBorder="1"/>
    <xf numFmtId="15" fontId="28" fillId="0" borderId="18" xfId="0" applyNumberFormat="1" applyFont="1" applyBorder="1"/>
    <xf numFmtId="49" fontId="14" fillId="2" borderId="18" xfId="0" applyNumberFormat="1" applyFont="1" applyFill="1" applyBorder="1" applyAlignment="1" applyProtection="1">
      <protection locked="0"/>
    </xf>
    <xf numFmtId="49" fontId="14" fillId="2" borderId="15" xfId="0" applyNumberFormat="1" applyFont="1" applyFill="1" applyBorder="1" applyAlignment="1" applyProtection="1">
      <protection locked="0"/>
    </xf>
    <xf numFmtId="49" fontId="1" fillId="2" borderId="5" xfId="0" applyNumberFormat="1" applyFont="1" applyFill="1" applyBorder="1" applyAlignment="1">
      <alignment horizontal="center" vertical="center" textRotation="90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>
      <alignment horizontal="center" vertical="center" textRotation="90"/>
    </xf>
    <xf numFmtId="49" fontId="18" fillId="2" borderId="5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/>
    </xf>
    <xf numFmtId="49" fontId="29" fillId="2" borderId="5" xfId="0" applyNumberFormat="1" applyFont="1" applyFill="1" applyBorder="1" applyAlignment="1">
      <alignment horizontal="center" vertical="center" textRotation="90" wrapText="1"/>
    </xf>
    <xf numFmtId="49" fontId="19" fillId="2" borderId="31" xfId="0" applyNumberFormat="1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textRotation="90"/>
    </xf>
    <xf numFmtId="49" fontId="18" fillId="2" borderId="2" xfId="0" applyNumberFormat="1" applyFont="1" applyFill="1" applyBorder="1" applyAlignment="1">
      <alignment horizontal="center" vertical="center" textRotation="90" wrapText="1"/>
    </xf>
    <xf numFmtId="49" fontId="18" fillId="2" borderId="3" xfId="0" applyNumberFormat="1" applyFont="1" applyFill="1" applyBorder="1" applyAlignment="1">
      <alignment horizontal="center" vertical="center" textRotation="90" wrapText="1"/>
    </xf>
    <xf numFmtId="165" fontId="18" fillId="2" borderId="5" xfId="0" applyNumberFormat="1" applyFont="1" applyFill="1" applyBorder="1" applyAlignment="1" applyProtection="1">
      <alignment horizontal="center" vertical="center" textRotation="90"/>
      <protection locked="0"/>
    </xf>
    <xf numFmtId="15" fontId="18" fillId="2" borderId="5" xfId="2" applyNumberFormat="1" applyFont="1" applyFill="1" applyBorder="1" applyAlignment="1" applyProtection="1">
      <alignment horizontal="center" vertical="center"/>
      <protection locked="0"/>
    </xf>
    <xf numFmtId="165" fontId="18" fillId="2" borderId="5" xfId="0" applyNumberFormat="1" applyFont="1" applyFill="1" applyBorder="1" applyAlignment="1">
      <alignment horizontal="center" vertical="center" wrapText="1"/>
    </xf>
    <xf numFmtId="0" fontId="50" fillId="2" borderId="0" xfId="0" applyFont="1" applyFill="1"/>
    <xf numFmtId="49" fontId="18" fillId="3" borderId="5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 textRotation="90"/>
    </xf>
    <xf numFmtId="4" fontId="18" fillId="3" borderId="5" xfId="0" applyNumberFormat="1" applyFont="1" applyFill="1" applyBorder="1" applyAlignment="1">
      <alignment horizontal="center" vertical="center"/>
    </xf>
    <xf numFmtId="15" fontId="18" fillId="3" borderId="5" xfId="2" applyNumberFormat="1" applyFont="1" applyFill="1" applyBorder="1" applyAlignment="1" applyProtection="1">
      <alignment horizontal="center" vertical="center" textRotation="90"/>
      <protection locked="0"/>
    </xf>
    <xf numFmtId="49" fontId="18" fillId="3" borderId="6" xfId="0" applyNumberFormat="1" applyFont="1" applyFill="1" applyBorder="1" applyAlignment="1">
      <alignment horizontal="center" vertical="center"/>
    </xf>
    <xf numFmtId="49" fontId="26" fillId="2" borderId="44" xfId="0" applyNumberFormat="1" applyFont="1" applyFill="1" applyBorder="1" applyAlignment="1">
      <alignment vertical="center" wrapText="1"/>
    </xf>
    <xf numFmtId="49" fontId="26" fillId="2" borderId="30" xfId="0" applyNumberFormat="1" applyFont="1" applyFill="1" applyBorder="1" applyAlignment="1">
      <alignment vertical="center" wrapText="1"/>
    </xf>
    <xf numFmtId="49" fontId="1" fillId="2" borderId="16" xfId="0" applyNumberFormat="1" applyFont="1" applyFill="1" applyBorder="1" applyAlignment="1" applyProtection="1">
      <protection locked="0"/>
    </xf>
    <xf numFmtId="49" fontId="1" fillId="2" borderId="15" xfId="0" applyNumberFormat="1" applyFont="1" applyFill="1" applyBorder="1" applyAlignment="1" applyProtection="1">
      <protection locked="0"/>
    </xf>
    <xf numFmtId="49" fontId="1" fillId="2" borderId="28" xfId="0" applyNumberFormat="1" applyFont="1" applyFill="1" applyBorder="1" applyAlignment="1" applyProtection="1">
      <protection locked="0"/>
    </xf>
    <xf numFmtId="49" fontId="29" fillId="2" borderId="5" xfId="0" applyNumberFormat="1" applyFont="1" applyFill="1" applyBorder="1" applyAlignment="1">
      <alignment vertical="center" wrapText="1"/>
    </xf>
    <xf numFmtId="49" fontId="29" fillId="2" borderId="5" xfId="0" applyNumberFormat="1" applyFont="1" applyFill="1" applyBorder="1" applyAlignment="1">
      <alignment horizontal="center" vertical="center" textRotation="90"/>
    </xf>
    <xf numFmtId="49" fontId="6" fillId="2" borderId="5" xfId="0" applyNumberFormat="1" applyFont="1" applyFill="1" applyBorder="1" applyAlignment="1">
      <alignment horizontal="center" vertical="center" wrapText="1"/>
    </xf>
    <xf numFmtId="49" fontId="30" fillId="3" borderId="5" xfId="0" applyNumberFormat="1" applyFont="1" applyFill="1" applyBorder="1" applyAlignment="1">
      <alignment horizontal="center" vertical="center"/>
    </xf>
    <xf numFmtId="4" fontId="30" fillId="3" borderId="5" xfId="0" applyNumberFormat="1" applyFont="1" applyFill="1" applyBorder="1" applyAlignment="1">
      <alignment horizontal="center" vertical="center"/>
    </xf>
    <xf numFmtId="49" fontId="30" fillId="3" borderId="6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17" fillId="5" borderId="4" xfId="0" applyNumberFormat="1" applyFont="1" applyFill="1" applyBorder="1" applyAlignment="1">
      <alignment horizontal="left" vertical="center"/>
    </xf>
    <xf numFmtId="49" fontId="17" fillId="5" borderId="5" xfId="0" applyNumberFormat="1" applyFont="1" applyFill="1" applyBorder="1" applyAlignment="1">
      <alignment horizontal="center" vertical="center"/>
    </xf>
    <xf numFmtId="4" fontId="17" fillId="5" borderId="5" xfId="0" applyNumberFormat="1" applyFont="1" applyFill="1" applyBorder="1" applyAlignment="1">
      <alignment horizontal="center" vertical="center"/>
    </xf>
    <xf numFmtId="49" fontId="17" fillId="5" borderId="6" xfId="0" applyNumberFormat="1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6" borderId="5" xfId="0" applyNumberFormat="1" applyFont="1" applyFill="1" applyBorder="1" applyAlignment="1">
      <alignment horizontal="center" vertical="center"/>
    </xf>
    <xf numFmtId="4" fontId="17" fillId="6" borderId="5" xfId="0" applyNumberFormat="1" applyFont="1" applyFill="1" applyBorder="1" applyAlignment="1">
      <alignment horizontal="center" vertical="center"/>
    </xf>
    <xf numFmtId="49" fontId="17" fillId="6" borderId="6" xfId="0" applyNumberFormat="1" applyFont="1" applyFill="1" applyBorder="1" applyAlignment="1">
      <alignment horizontal="center" vertical="center"/>
    </xf>
    <xf numFmtId="49" fontId="26" fillId="3" borderId="5" xfId="0" applyNumberFormat="1" applyFont="1" applyFill="1" applyBorder="1" applyAlignment="1">
      <alignment horizontal="center" vertical="center"/>
    </xf>
    <xf numFmtId="4" fontId="26" fillId="3" borderId="5" xfId="0" applyNumberFormat="1" applyFont="1" applyFill="1" applyBorder="1" applyAlignment="1">
      <alignment horizontal="center" vertical="center"/>
    </xf>
    <xf numFmtId="49" fontId="26" fillId="3" borderId="6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/>
      <protection locked="0"/>
    </xf>
    <xf numFmtId="49" fontId="1" fillId="4" borderId="5" xfId="0" applyNumberFormat="1" applyFont="1" applyFill="1" applyBorder="1" applyAlignment="1">
      <alignment horizontal="center" wrapText="1"/>
    </xf>
    <xf numFmtId="4" fontId="1" fillId="4" borderId="5" xfId="0" applyNumberFormat="1" applyFont="1" applyFill="1" applyBorder="1" applyAlignment="1" applyProtection="1">
      <protection locked="0"/>
    </xf>
    <xf numFmtId="0" fontId="4" fillId="5" borderId="5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5" xfId="0" applyNumberFormat="1" applyFont="1" applyFill="1" applyBorder="1" applyAlignment="1" applyProtection="1">
      <alignment horizontal="center"/>
      <protection locked="0"/>
    </xf>
    <xf numFmtId="43" fontId="1" fillId="5" borderId="5" xfId="1" applyFont="1" applyFill="1" applyBorder="1" applyAlignment="1" applyProtection="1">
      <alignment horizontal="right"/>
      <protection locked="0"/>
    </xf>
    <xf numFmtId="43" fontId="1" fillId="5" borderId="5" xfId="1" applyFont="1" applyFill="1" applyBorder="1" applyAlignment="1" applyProtection="1">
      <alignment horizontal="center"/>
      <protection locked="0"/>
    </xf>
    <xf numFmtId="49" fontId="1" fillId="5" borderId="5" xfId="0" applyNumberFormat="1" applyFont="1" applyFill="1" applyBorder="1" applyAlignment="1">
      <alignment horizontal="center" wrapText="1"/>
    </xf>
    <xf numFmtId="165" fontId="1" fillId="5" borderId="5" xfId="0" applyNumberFormat="1" applyFont="1" applyFill="1" applyBorder="1" applyAlignment="1" applyProtection="1">
      <alignment horizontal="center"/>
      <protection locked="0"/>
    </xf>
    <xf numFmtId="165" fontId="1" fillId="5" borderId="5" xfId="0" applyNumberFormat="1" applyFont="1" applyFill="1" applyBorder="1" applyAlignment="1" applyProtection="1">
      <protection locked="0"/>
    </xf>
    <xf numFmtId="165" fontId="3" fillId="5" borderId="5" xfId="0" applyNumberFormat="1" applyFont="1" applyFill="1" applyBorder="1" applyAlignment="1" applyProtection="1">
      <alignment horizontal="center"/>
      <protection locked="0"/>
    </xf>
    <xf numFmtId="4" fontId="1" fillId="5" borderId="5" xfId="0" applyNumberFormat="1" applyFont="1" applyFill="1" applyBorder="1" applyAlignment="1" applyProtection="1">
      <protection locked="0"/>
    </xf>
    <xf numFmtId="165" fontId="4" fillId="5" borderId="5" xfId="0" applyNumberFormat="1" applyFont="1" applyFill="1" applyBorder="1" applyAlignment="1" applyProtection="1">
      <alignment horizontal="center"/>
      <protection locked="0"/>
    </xf>
    <xf numFmtId="165" fontId="1" fillId="5" borderId="6" xfId="0" applyNumberFormat="1" applyFont="1" applyFill="1" applyBorder="1" applyAlignment="1" applyProtection="1">
      <protection locked="0"/>
    </xf>
    <xf numFmtId="0" fontId="19" fillId="4" borderId="14" xfId="0" applyFont="1" applyFill="1" applyBorder="1" applyAlignment="1">
      <alignment vertical="center" wrapText="1"/>
    </xf>
    <xf numFmtId="0" fontId="19" fillId="4" borderId="14" xfId="0" applyFont="1" applyFill="1" applyBorder="1" applyAlignment="1">
      <alignment wrapText="1"/>
    </xf>
    <xf numFmtId="49" fontId="20" fillId="4" borderId="15" xfId="0" applyNumberFormat="1" applyFont="1" applyFill="1" applyBorder="1" applyAlignment="1" applyProtection="1">
      <protection locked="0"/>
    </xf>
    <xf numFmtId="49" fontId="20" fillId="4" borderId="15" xfId="0" applyNumberFormat="1" applyFont="1" applyFill="1" applyBorder="1" applyAlignment="1" applyProtection="1">
      <alignment horizontal="center"/>
      <protection locked="0"/>
    </xf>
    <xf numFmtId="49" fontId="20" fillId="4" borderId="16" xfId="0" applyNumberFormat="1" applyFont="1" applyFill="1" applyBorder="1" applyAlignment="1" applyProtection="1">
      <protection locked="0"/>
    </xf>
    <xf numFmtId="43" fontId="19" fillId="4" borderId="17" xfId="1" applyFont="1" applyFill="1" applyBorder="1" applyAlignment="1">
      <alignment horizontal="left" wrapText="1"/>
    </xf>
    <xf numFmtId="43" fontId="19" fillId="4" borderId="14" xfId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horizontal="center" wrapText="1"/>
    </xf>
    <xf numFmtId="49" fontId="53" fillId="5" borderId="4" xfId="0" applyNumberFormat="1" applyFont="1" applyFill="1" applyBorder="1" applyAlignment="1">
      <alignment horizontal="center"/>
    </xf>
    <xf numFmtId="0" fontId="53" fillId="5" borderId="5" xfId="2" applyNumberFormat="1" applyFont="1" applyFill="1" applyBorder="1" applyAlignment="1" applyProtection="1">
      <alignment horizontal="left" vertical="center" wrapText="1"/>
      <protection locked="0"/>
    </xf>
    <xf numFmtId="49" fontId="19" fillId="4" borderId="13" xfId="0" applyNumberFormat="1" applyFont="1" applyFill="1" applyBorder="1" applyAlignment="1">
      <alignment vertical="center"/>
    </xf>
    <xf numFmtId="49" fontId="18" fillId="4" borderId="14" xfId="0" applyNumberFormat="1" applyFont="1" applyFill="1" applyBorder="1" applyAlignment="1">
      <alignment vertical="center"/>
    </xf>
    <xf numFmtId="49" fontId="18" fillId="4" borderId="33" xfId="0" applyNumberFormat="1" applyFont="1" applyFill="1" applyBorder="1" applyAlignment="1" applyProtection="1">
      <alignment horizontal="center"/>
      <protection locked="0"/>
    </xf>
    <xf numFmtId="49" fontId="18" fillId="4" borderId="34" xfId="0" applyNumberFormat="1" applyFont="1" applyFill="1" applyBorder="1" applyAlignment="1" applyProtection="1">
      <protection locked="0"/>
    </xf>
    <xf numFmtId="49" fontId="18" fillId="4" borderId="33" xfId="0" applyNumberFormat="1" applyFont="1" applyFill="1" applyBorder="1" applyAlignment="1" applyProtection="1">
      <protection locked="0"/>
    </xf>
    <xf numFmtId="49" fontId="18" fillId="4" borderId="35" xfId="0" applyNumberFormat="1" applyFont="1" applyFill="1" applyBorder="1" applyAlignment="1" applyProtection="1">
      <alignment horizontal="center"/>
      <protection locked="0"/>
    </xf>
    <xf numFmtId="49" fontId="18" fillId="4" borderId="34" xfId="0" applyNumberFormat="1" applyFont="1" applyFill="1" applyBorder="1" applyAlignment="1" applyProtection="1">
      <alignment horizontal="center"/>
      <protection locked="0"/>
    </xf>
    <xf numFmtId="4" fontId="18" fillId="4" borderId="34" xfId="0" applyNumberFormat="1" applyFont="1" applyFill="1" applyBorder="1" applyAlignment="1" applyProtection="1">
      <alignment horizontal="center"/>
      <protection locked="0"/>
    </xf>
    <xf numFmtId="49" fontId="18" fillId="4" borderId="17" xfId="0" applyNumberFormat="1" applyFont="1" applyFill="1" applyBorder="1" applyAlignment="1">
      <alignment vertical="center"/>
    </xf>
    <xf numFmtId="49" fontId="18" fillId="2" borderId="25" xfId="0" applyNumberFormat="1" applyFont="1" applyFill="1" applyBorder="1" applyAlignment="1">
      <alignment horizontal="center" vertical="center" textRotation="90" wrapText="1"/>
    </xf>
    <xf numFmtId="49" fontId="1" fillId="4" borderId="4" xfId="0" applyNumberFormat="1" applyFont="1" applyFill="1" applyBorder="1" applyAlignment="1">
      <alignment horizontal="center" vertical="center" textRotation="90"/>
    </xf>
    <xf numFmtId="49" fontId="1" fillId="4" borderId="5" xfId="0" applyNumberFormat="1" applyFont="1" applyFill="1" applyBorder="1" applyAlignment="1">
      <alignment horizontal="center" vertical="center" textRotation="90" wrapText="1"/>
    </xf>
    <xf numFmtId="49" fontId="7" fillId="4" borderId="5" xfId="0" applyNumberFormat="1" applyFont="1" applyFill="1" applyBorder="1" applyAlignment="1">
      <alignment horizontal="center" vertical="center" textRotation="90" wrapText="1"/>
    </xf>
    <xf numFmtId="49" fontId="7" fillId="4" borderId="15" xfId="0" applyNumberFormat="1" applyFont="1" applyFill="1" applyBorder="1" applyAlignment="1" applyProtection="1">
      <protection locked="0"/>
    </xf>
    <xf numFmtId="49" fontId="7" fillId="4" borderId="15" xfId="0" applyNumberFormat="1" applyFont="1" applyFill="1" applyBorder="1" applyAlignment="1" applyProtection="1">
      <alignment horizontal="center"/>
      <protection locked="0"/>
    </xf>
    <xf numFmtId="4" fontId="7" fillId="4" borderId="15" xfId="0" applyNumberFormat="1" applyFont="1" applyFill="1" applyBorder="1" applyAlignment="1" applyProtection="1">
      <protection locked="0"/>
    </xf>
    <xf numFmtId="49" fontId="7" fillId="4" borderId="6" xfId="0" applyNumberFormat="1" applyFont="1" applyFill="1" applyBorder="1" applyAlignment="1">
      <alignment horizontal="center" vertical="center" textRotation="90" wrapText="1"/>
    </xf>
    <xf numFmtId="49" fontId="1" fillId="2" borderId="32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35" fillId="2" borderId="0" xfId="0" applyFont="1" applyFill="1" applyBorder="1"/>
    <xf numFmtId="49" fontId="35" fillId="2" borderId="2" xfId="0" applyNumberFormat="1" applyFont="1" applyFill="1" applyBorder="1" applyAlignment="1">
      <alignment horizontal="center" vertical="center" textRotation="90" wrapText="1"/>
    </xf>
    <xf numFmtId="49" fontId="1" fillId="4" borderId="15" xfId="0" applyNumberFormat="1" applyFont="1" applyFill="1" applyBorder="1" applyAlignment="1" applyProtection="1">
      <protection locked="0"/>
    </xf>
    <xf numFmtId="49" fontId="1" fillId="4" borderId="15" xfId="0" applyNumberFormat="1" applyFont="1" applyFill="1" applyBorder="1" applyAlignment="1" applyProtection="1">
      <alignment horizontal="center"/>
      <protection locked="0"/>
    </xf>
    <xf numFmtId="4" fontId="1" fillId="4" borderId="15" xfId="0" applyNumberFormat="1" applyFont="1" applyFill="1" applyBorder="1" applyAlignment="1" applyProtection="1">
      <protection locked="0"/>
    </xf>
    <xf numFmtId="49" fontId="1" fillId="4" borderId="6" xfId="0" applyNumberFormat="1" applyFont="1" applyFill="1" applyBorder="1" applyAlignment="1">
      <alignment horizontal="center" vertical="center" textRotation="90" wrapText="1"/>
    </xf>
    <xf numFmtId="49" fontId="26" fillId="2" borderId="0" xfId="0" applyNumberFormat="1" applyFont="1" applyFill="1"/>
    <xf numFmtId="43" fontId="26" fillId="2" borderId="0" xfId="1" applyNumberFormat="1" applyFont="1" applyFill="1"/>
    <xf numFmtId="49" fontId="55" fillId="2" borderId="0" xfId="0" applyNumberFormat="1" applyFont="1" applyFill="1"/>
    <xf numFmtId="49" fontId="6" fillId="2" borderId="0" xfId="0" applyNumberFormat="1" applyFont="1" applyFill="1" applyBorder="1"/>
    <xf numFmtId="49" fontId="1" fillId="2" borderId="0" xfId="0" applyNumberFormat="1" applyFont="1" applyFill="1" applyBorder="1" applyProtection="1">
      <protection locked="0"/>
    </xf>
    <xf numFmtId="49" fontId="6" fillId="2" borderId="0" xfId="0" applyNumberFormat="1" applyFont="1" applyFill="1"/>
    <xf numFmtId="49" fontId="6" fillId="2" borderId="0" xfId="0" applyNumberFormat="1" applyFont="1" applyFill="1" applyBorder="1" applyProtection="1">
      <protection locked="0"/>
    </xf>
    <xf numFmtId="0" fontId="0" fillId="2" borderId="0" xfId="0" applyFont="1" applyFill="1" applyBorder="1" applyAlignment="1">
      <alignment horizontal="center" vertical="center" wrapText="1"/>
    </xf>
    <xf numFmtId="49" fontId="29" fillId="2" borderId="0" xfId="0" applyNumberFormat="1" applyFont="1" applyFill="1" applyBorder="1"/>
    <xf numFmtId="49" fontId="1" fillId="2" borderId="0" xfId="0" applyNumberFormat="1" applyFont="1" applyFill="1" applyBorder="1" applyAlignment="1">
      <alignment vertical="center"/>
    </xf>
    <xf numFmtId="49" fontId="1" fillId="2" borderId="4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 applyProtection="1">
      <alignment vertical="center" wrapText="1"/>
      <protection locked="0"/>
    </xf>
    <xf numFmtId="49" fontId="1" fillId="4" borderId="5" xfId="0" applyNumberFormat="1" applyFont="1" applyFill="1" applyBorder="1" applyAlignment="1" applyProtection="1">
      <protection locked="0"/>
    </xf>
    <xf numFmtId="49" fontId="1" fillId="4" borderId="6" xfId="0" applyNumberFormat="1" applyFont="1" applyFill="1" applyBorder="1" applyAlignment="1" applyProtection="1">
      <protection locked="0"/>
    </xf>
    <xf numFmtId="49" fontId="0" fillId="2" borderId="12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 applyProtection="1">
      <protection locked="0"/>
    </xf>
    <xf numFmtId="49" fontId="1" fillId="2" borderId="6" xfId="0" applyNumberFormat="1" applyFont="1" applyFill="1" applyBorder="1" applyAlignment="1" applyProtection="1">
      <protection locked="0"/>
    </xf>
    <xf numFmtId="49" fontId="1" fillId="7" borderId="5" xfId="0" applyNumberFormat="1" applyFont="1" applyFill="1" applyBorder="1" applyAlignment="1" applyProtection="1">
      <protection locked="0"/>
    </xf>
    <xf numFmtId="4" fontId="1" fillId="7" borderId="5" xfId="0" applyNumberFormat="1" applyFont="1" applyFill="1" applyBorder="1" applyAlignment="1" applyProtection="1">
      <protection locked="0"/>
    </xf>
    <xf numFmtId="49" fontId="1" fillId="7" borderId="5" xfId="0" applyNumberFormat="1" applyFont="1" applyFill="1" applyBorder="1" applyAlignment="1">
      <alignment horizontal="center" wrapText="1"/>
    </xf>
    <xf numFmtId="49" fontId="1" fillId="7" borderId="6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/>
    <xf numFmtId="49" fontId="1" fillId="2" borderId="7" xfId="0" applyNumberFormat="1" applyFont="1" applyFill="1" applyBorder="1" applyAlignment="1"/>
    <xf numFmtId="49" fontId="1" fillId="2" borderId="8" xfId="0" applyNumberFormat="1" applyFont="1" applyFill="1" applyBorder="1" applyAlignment="1"/>
    <xf numFmtId="4" fontId="1" fillId="2" borderId="8" xfId="0" applyNumberFormat="1" applyFont="1" applyFill="1" applyBorder="1" applyAlignment="1"/>
    <xf numFmtId="49" fontId="1" fillId="2" borderId="23" xfId="0" applyNumberFormat="1" applyFont="1" applyFill="1" applyBorder="1"/>
    <xf numFmtId="43" fontId="26" fillId="2" borderId="0" xfId="1" applyFont="1" applyFill="1" applyBorder="1"/>
    <xf numFmtId="43" fontId="26" fillId="2" borderId="0" xfId="1" applyFont="1" applyFill="1" applyBorder="1" applyAlignment="1"/>
    <xf numFmtId="43" fontId="26" fillId="2" borderId="0" xfId="0" applyNumberFormat="1" applyFont="1" applyFill="1" applyBorder="1"/>
    <xf numFmtId="43" fontId="18" fillId="2" borderId="5" xfId="1" applyNumberFormat="1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 applyProtection="1">
      <alignment horizontal="center"/>
      <protection locked="0"/>
    </xf>
    <xf numFmtId="49" fontId="18" fillId="2" borderId="5" xfId="0" applyNumberFormat="1" applyFont="1" applyFill="1" applyBorder="1" applyAlignment="1" applyProtection="1">
      <alignment horizontal="center" vertical="center"/>
      <protection locked="0"/>
    </xf>
    <xf numFmtId="4" fontId="18" fillId="2" borderId="18" xfId="0" applyNumberFormat="1" applyFont="1" applyFill="1" applyBorder="1" applyAlignment="1" applyProtection="1">
      <alignment horizontal="right" vertical="center"/>
      <protection locked="0"/>
    </xf>
    <xf numFmtId="0" fontId="0" fillId="2" borderId="5" xfId="0" applyFont="1" applyFill="1" applyBorder="1"/>
    <xf numFmtId="49" fontId="25" fillId="0" borderId="31" xfId="0" applyNumberFormat="1" applyFont="1" applyFill="1" applyBorder="1" applyAlignment="1">
      <alignment vertical="center"/>
    </xf>
    <xf numFmtId="49" fontId="25" fillId="0" borderId="26" xfId="0" applyNumberFormat="1" applyFont="1" applyFill="1" applyBorder="1" applyAlignment="1">
      <alignment vertical="center"/>
    </xf>
    <xf numFmtId="49" fontId="31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49" fontId="19" fillId="0" borderId="32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textRotation="90" wrapText="1"/>
    </xf>
    <xf numFmtId="49" fontId="18" fillId="0" borderId="5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9" fontId="20" fillId="9" borderId="15" xfId="0" applyNumberFormat="1" applyFont="1" applyFill="1" applyBorder="1" applyAlignment="1" applyProtection="1">
      <protection locked="0"/>
    </xf>
    <xf numFmtId="49" fontId="20" fillId="9" borderId="15" xfId="0" applyNumberFormat="1" applyFont="1" applyFill="1" applyBorder="1" applyAlignment="1" applyProtection="1">
      <alignment horizontal="center"/>
      <protection locked="0"/>
    </xf>
    <xf numFmtId="49" fontId="20" fillId="9" borderId="16" xfId="0" applyNumberFormat="1" applyFont="1" applyFill="1" applyBorder="1" applyAlignment="1" applyProtection="1">
      <protection locked="0"/>
    </xf>
    <xf numFmtId="15" fontId="18" fillId="0" borderId="5" xfId="0" applyNumberFormat="1" applyFont="1" applyFill="1" applyBorder="1" applyAlignment="1" applyProtection="1">
      <alignment horizontal="center" vertical="center"/>
      <protection locked="0"/>
    </xf>
    <xf numFmtId="4" fontId="18" fillId="0" borderId="5" xfId="0" applyNumberFormat="1" applyFont="1" applyFill="1" applyBorder="1" applyAlignment="1" applyProtection="1">
      <alignment horizontal="center" vertical="center"/>
      <protection locked="0"/>
    </xf>
    <xf numFmtId="15" fontId="18" fillId="3" borderId="5" xfId="0" applyNumberFormat="1" applyFont="1" applyFill="1" applyBorder="1" applyAlignment="1" applyProtection="1">
      <alignment horizontal="center" vertical="center"/>
      <protection locked="0"/>
    </xf>
    <xf numFmtId="4" fontId="18" fillId="0" borderId="6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Alignment="1">
      <alignment horizontal="center" vertical="center"/>
    </xf>
    <xf numFmtId="165" fontId="18" fillId="0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Fill="1" applyBorder="1" applyAlignment="1">
      <alignment horizontal="center" vertical="center"/>
    </xf>
    <xf numFmtId="14" fontId="18" fillId="0" borderId="5" xfId="0" applyNumberFormat="1" applyFont="1" applyFill="1" applyBorder="1" applyAlignment="1" applyProtection="1">
      <alignment horizontal="center" vertical="center"/>
      <protection locked="0"/>
    </xf>
    <xf numFmtId="165" fontId="18" fillId="3" borderId="5" xfId="0" applyNumberFormat="1" applyFont="1" applyFill="1" applyBorder="1" applyAlignment="1" applyProtection="1">
      <alignment horizontal="center" vertical="center"/>
      <protection locked="0"/>
    </xf>
    <xf numFmtId="49" fontId="18" fillId="3" borderId="5" xfId="0" applyNumberFormat="1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 applyProtection="1">
      <alignment horizontal="center" vertical="center"/>
      <protection locked="0"/>
    </xf>
    <xf numFmtId="49" fontId="18" fillId="3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24" xfId="0" applyNumberFormat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 applyProtection="1">
      <alignment horizontal="center" vertical="center"/>
      <protection locked="0"/>
    </xf>
    <xf numFmtId="165" fontId="18" fillId="0" borderId="8" xfId="0" applyNumberFormat="1" applyFont="1" applyFill="1" applyBorder="1" applyAlignment="1" applyProtection="1">
      <alignment horizontal="center" vertical="center"/>
      <protection locked="0"/>
    </xf>
    <xf numFmtId="165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5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>
      <alignment horizontal="center" vertical="center"/>
    </xf>
    <xf numFmtId="167" fontId="18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54" xfId="0" applyNumberFormat="1" applyFont="1" applyFill="1" applyBorder="1" applyAlignment="1">
      <alignment horizontal="center" vertical="center"/>
    </xf>
    <xf numFmtId="0" fontId="42" fillId="2" borderId="5" xfId="0" applyFont="1" applyFill="1" applyBorder="1"/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65" fontId="4" fillId="0" borderId="48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48" xfId="0" applyNumberFormat="1" applyFont="1" applyFill="1" applyBorder="1" applyAlignment="1" applyProtection="1">
      <alignment horizontal="center" vertical="center"/>
      <protection locked="0"/>
    </xf>
    <xf numFmtId="15" fontId="4" fillId="0" borderId="5" xfId="2" applyNumberFormat="1" applyFont="1" applyFill="1" applyBorder="1" applyAlignment="1" applyProtection="1">
      <alignment horizontal="center" vertical="center"/>
      <protection locked="0"/>
    </xf>
    <xf numFmtId="168" fontId="4" fillId="0" borderId="48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>
      <alignment horizontal="center" vertical="center"/>
    </xf>
    <xf numFmtId="49" fontId="18" fillId="2" borderId="18" xfId="0" applyNumberFormat="1" applyFont="1" applyFill="1" applyBorder="1" applyAlignment="1">
      <alignment horizontal="center" vertical="center" wrapText="1"/>
    </xf>
    <xf numFmtId="4" fontId="18" fillId="2" borderId="18" xfId="0" applyNumberFormat="1" applyFont="1" applyFill="1" applyBorder="1" applyAlignment="1" applyProtection="1">
      <alignment horizontal="center" vertical="center"/>
      <protection locked="0"/>
    </xf>
    <xf numFmtId="4" fontId="18" fillId="2" borderId="36" xfId="0" applyNumberFormat="1" applyFont="1" applyFill="1" applyBorder="1" applyAlignment="1" applyProtection="1">
      <alignment horizontal="center" vertical="center"/>
      <protection locked="0"/>
    </xf>
    <xf numFmtId="49" fontId="51" fillId="2" borderId="5" xfId="0" applyNumberFormat="1" applyFont="1" applyFill="1" applyBorder="1" applyAlignment="1">
      <alignment horizontal="center" vertical="center"/>
    </xf>
    <xf numFmtId="0" fontId="52" fillId="2" borderId="5" xfId="0" applyFont="1" applyFill="1" applyBorder="1"/>
    <xf numFmtId="0" fontId="50" fillId="2" borderId="5" xfId="0" applyFont="1" applyFill="1" applyBorder="1"/>
    <xf numFmtId="49" fontId="58" fillId="0" borderId="5" xfId="0" applyNumberFormat="1" applyFont="1" applyFill="1" applyBorder="1" applyAlignment="1">
      <alignment horizontal="center" vertical="center" wrapText="1"/>
    </xf>
    <xf numFmtId="165" fontId="58" fillId="0" borderId="5" xfId="0" applyNumberFormat="1" applyFont="1" applyFill="1" applyBorder="1" applyAlignment="1" applyProtection="1">
      <alignment horizontal="center" vertical="center"/>
      <protection locked="0"/>
    </xf>
    <xf numFmtId="49" fontId="58" fillId="0" borderId="5" xfId="0" applyNumberFormat="1" applyFont="1" applyFill="1" applyBorder="1" applyAlignment="1">
      <alignment horizontal="center" vertical="center"/>
    </xf>
    <xf numFmtId="49" fontId="58" fillId="0" borderId="5" xfId="0" applyNumberFormat="1" applyFont="1" applyFill="1" applyBorder="1" applyAlignment="1" applyProtection="1">
      <alignment horizontal="center" vertical="center"/>
      <protection locked="0"/>
    </xf>
    <xf numFmtId="49" fontId="61" fillId="0" borderId="5" xfId="0" applyNumberFormat="1" applyFont="1" applyFill="1" applyBorder="1" applyAlignment="1">
      <alignment horizontal="center" vertical="center" wrapText="1"/>
    </xf>
    <xf numFmtId="165" fontId="61" fillId="0" borderId="5" xfId="0" applyNumberFormat="1" applyFont="1" applyFill="1" applyBorder="1" applyAlignment="1" applyProtection="1">
      <alignment horizontal="center" vertical="center"/>
      <protection locked="0"/>
    </xf>
    <xf numFmtId="4" fontId="61" fillId="0" borderId="5" xfId="0" applyNumberFormat="1" applyFont="1" applyFill="1" applyBorder="1" applyAlignment="1" applyProtection="1">
      <alignment horizontal="center" vertical="center"/>
      <protection locked="0"/>
    </xf>
    <xf numFmtId="49" fontId="61" fillId="0" borderId="5" xfId="0" applyNumberFormat="1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 applyProtection="1">
      <alignment horizontal="center" vertical="center"/>
      <protection locked="0"/>
    </xf>
    <xf numFmtId="15" fontId="61" fillId="0" borderId="5" xfId="2" applyNumberFormat="1" applyFont="1" applyFill="1" applyBorder="1" applyAlignment="1" applyProtection="1">
      <alignment horizontal="center" vertical="center"/>
      <protection locked="0"/>
    </xf>
    <xf numFmtId="169" fontId="59" fillId="0" borderId="5" xfId="0" applyNumberFormat="1" applyFont="1" applyFill="1" applyBorder="1" applyAlignment="1" applyProtection="1">
      <alignment horizontal="center" vertical="center"/>
      <protection locked="0"/>
    </xf>
    <xf numFmtId="170" fontId="61" fillId="0" borderId="5" xfId="0" applyNumberFormat="1" applyFont="1" applyFill="1" applyBorder="1" applyAlignment="1">
      <alignment horizontal="center" vertical="center" wrapText="1"/>
    </xf>
    <xf numFmtId="170" fontId="61" fillId="0" borderId="5" xfId="0" applyNumberFormat="1" applyFont="1" applyFill="1" applyBorder="1" applyAlignment="1" applyProtection="1">
      <alignment horizontal="center" vertical="center"/>
      <protection locked="0"/>
    </xf>
    <xf numFmtId="168" fontId="61" fillId="0" borderId="5" xfId="0" applyNumberFormat="1" applyFont="1" applyFill="1" applyBorder="1" applyAlignment="1" applyProtection="1">
      <alignment horizontal="center" vertical="center"/>
      <protection locked="0"/>
    </xf>
    <xf numFmtId="43" fontId="42" fillId="2" borderId="5" xfId="0" applyNumberFormat="1" applyFont="1" applyFill="1" applyBorder="1"/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31" fillId="0" borderId="5" xfId="0" applyNumberFormat="1" applyFont="1" applyFill="1" applyBorder="1" applyAlignment="1">
      <alignment horizontal="center" vertical="center"/>
    </xf>
    <xf numFmtId="49" fontId="18" fillId="2" borderId="50" xfId="0" applyNumberFormat="1" applyFont="1" applyFill="1" applyBorder="1" applyAlignment="1">
      <alignment horizontal="center" vertical="center"/>
    </xf>
    <xf numFmtId="43" fontId="18" fillId="2" borderId="55" xfId="1" applyFont="1" applyFill="1" applyBorder="1" applyAlignment="1">
      <alignment horizontal="center" vertical="center"/>
    </xf>
    <xf numFmtId="4" fontId="18" fillId="2" borderId="5" xfId="0" applyNumberFormat="1" applyFont="1" applyFill="1" applyBorder="1" applyAlignment="1">
      <alignment horizontal="center" vertical="center"/>
    </xf>
    <xf numFmtId="4" fontId="18" fillId="2" borderId="18" xfId="0" applyNumberFormat="1" applyFont="1" applyFill="1" applyBorder="1" applyAlignment="1">
      <alignment horizontal="center" vertical="center"/>
    </xf>
    <xf numFmtId="43" fontId="19" fillId="2" borderId="54" xfId="1" applyFont="1" applyFill="1" applyBorder="1" applyAlignment="1">
      <alignment horizontal="center" vertical="center"/>
    </xf>
    <xf numFmtId="49" fontId="19" fillId="0" borderId="54" xfId="0" applyNumberFormat="1" applyFont="1" applyFill="1" applyBorder="1" applyAlignment="1">
      <alignment horizontal="center" vertical="center" wrapText="1"/>
    </xf>
    <xf numFmtId="49" fontId="19" fillId="0" borderId="54" xfId="0" applyNumberFormat="1" applyFont="1" applyFill="1" applyBorder="1" applyAlignment="1">
      <alignment horizontal="center" vertical="center"/>
    </xf>
    <xf numFmtId="4" fontId="58" fillId="2" borderId="5" xfId="0" applyNumberFormat="1" applyFont="1" applyFill="1" applyBorder="1" applyAlignment="1" applyProtection="1">
      <alignment horizontal="left" vertical="center"/>
      <protection locked="0"/>
    </xf>
    <xf numFmtId="4" fontId="58" fillId="2" borderId="5" xfId="0" applyNumberFormat="1" applyFont="1" applyFill="1" applyBorder="1" applyAlignment="1">
      <alignment horizontal="left" vertical="center"/>
    </xf>
    <xf numFmtId="43" fontId="18" fillId="2" borderId="0" xfId="1" applyFont="1" applyFill="1" applyAlignment="1">
      <alignment horizontal="left"/>
    </xf>
    <xf numFmtId="49" fontId="61" fillId="2" borderId="5" xfId="0" applyNumberFormat="1" applyFont="1" applyFill="1" applyBorder="1" applyAlignment="1" applyProtection="1">
      <alignment horizontal="center" vertical="center"/>
      <protection locked="0"/>
    </xf>
    <xf numFmtId="4" fontId="61" fillId="2" borderId="5" xfId="0" applyNumberFormat="1" applyFont="1" applyFill="1" applyBorder="1" applyAlignment="1">
      <alignment horizontal="center" vertical="center"/>
    </xf>
    <xf numFmtId="4" fontId="52" fillId="2" borderId="5" xfId="0" applyNumberFormat="1" applyFont="1" applyFill="1" applyBorder="1"/>
    <xf numFmtId="4" fontId="19" fillId="2" borderId="5" xfId="0" applyNumberFormat="1" applyFont="1" applyFill="1" applyBorder="1"/>
    <xf numFmtId="164" fontId="19" fillId="2" borderId="5" xfId="0" applyNumberFormat="1" applyFont="1" applyFill="1" applyBorder="1"/>
    <xf numFmtId="4" fontId="57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165" fontId="4" fillId="2" borderId="5" xfId="0" applyNumberFormat="1" applyFont="1" applyFill="1" applyBorder="1" applyAlignment="1" applyProtection="1">
      <protection locked="0"/>
    </xf>
    <xf numFmtId="15" fontId="18" fillId="2" borderId="5" xfId="0" applyNumberFormat="1" applyFont="1" applyFill="1" applyBorder="1" applyAlignment="1" applyProtection="1">
      <alignment horizontal="center"/>
      <protection locked="0"/>
    </xf>
    <xf numFmtId="4" fontId="18" fillId="2" borderId="5" xfId="0" applyNumberFormat="1" applyFont="1" applyFill="1" applyBorder="1" applyAlignment="1" applyProtection="1">
      <protection locked="0"/>
    </xf>
    <xf numFmtId="15" fontId="18" fillId="2" borderId="5" xfId="0" applyNumberFormat="1" applyFont="1" applyFill="1" applyBorder="1" applyAlignment="1" applyProtection="1"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protection locked="0"/>
    </xf>
    <xf numFmtId="165" fontId="18" fillId="2" borderId="5" xfId="0" applyNumberFormat="1" applyFont="1" applyFill="1" applyBorder="1" applyAlignment="1" applyProtection="1">
      <protection locked="0"/>
    </xf>
    <xf numFmtId="49" fontId="4" fillId="2" borderId="5" xfId="0" applyNumberFormat="1" applyFont="1" applyFill="1" applyBorder="1" applyAlignment="1" applyProtection="1">
      <protection locked="0"/>
    </xf>
    <xf numFmtId="49" fontId="4" fillId="3" borderId="5" xfId="0" applyNumberFormat="1" applyFont="1" applyFill="1" applyBorder="1" applyAlignment="1"/>
    <xf numFmtId="165" fontId="4" fillId="3" borderId="5" xfId="0" applyNumberFormat="1" applyFont="1" applyFill="1" applyBorder="1" applyAlignment="1"/>
    <xf numFmtId="15" fontId="18" fillId="3" borderId="5" xfId="0" applyNumberFormat="1" applyFont="1" applyFill="1" applyBorder="1" applyAlignment="1" applyProtection="1">
      <alignment horizontal="center"/>
      <protection locked="0"/>
    </xf>
    <xf numFmtId="49" fontId="18" fillId="3" borderId="5" xfId="0" applyNumberFormat="1" applyFont="1" applyFill="1" applyBorder="1" applyAlignment="1"/>
    <xf numFmtId="4" fontId="18" fillId="3" borderId="5" xfId="0" applyNumberFormat="1" applyFont="1" applyFill="1" applyBorder="1" applyAlignment="1"/>
    <xf numFmtId="49" fontId="4" fillId="3" borderId="6" xfId="0" applyNumberFormat="1" applyFont="1" applyFill="1" applyBorder="1" applyAlignment="1"/>
    <xf numFmtId="49" fontId="18" fillId="2" borderId="5" xfId="0" applyNumberFormat="1" applyFont="1" applyFill="1" applyBorder="1" applyAlignment="1" applyProtection="1">
      <protection locked="0"/>
    </xf>
    <xf numFmtId="4" fontId="4" fillId="2" borderId="6" xfId="0" applyNumberFormat="1" applyFont="1" applyFill="1" applyBorder="1" applyAlignment="1" applyProtection="1">
      <protection locked="0"/>
    </xf>
    <xf numFmtId="49" fontId="4" fillId="7" borderId="5" xfId="0" applyNumberFormat="1" applyFont="1" applyFill="1" applyBorder="1" applyAlignment="1">
      <alignment horizontal="center" wrapText="1"/>
    </xf>
    <xf numFmtId="49" fontId="4" fillId="7" borderId="5" xfId="0" applyNumberFormat="1" applyFont="1" applyFill="1" applyBorder="1" applyAlignment="1" applyProtection="1">
      <protection locked="0"/>
    </xf>
    <xf numFmtId="4" fontId="4" fillId="7" borderId="5" xfId="0" applyNumberFormat="1" applyFont="1" applyFill="1" applyBorder="1" applyAlignment="1" applyProtection="1">
      <protection locked="0"/>
    </xf>
    <xf numFmtId="49" fontId="4" fillId="7" borderId="6" xfId="0" applyNumberFormat="1" applyFont="1" applyFill="1" applyBorder="1" applyAlignment="1" applyProtection="1">
      <protection locked="0"/>
    </xf>
    <xf numFmtId="165" fontId="4" fillId="2" borderId="5" xfId="0" applyNumberFormat="1" applyFont="1" applyFill="1" applyBorder="1" applyAlignment="1">
      <alignment horizontal="center" wrapText="1"/>
    </xf>
    <xf numFmtId="43" fontId="18" fillId="2" borderId="5" xfId="0" applyNumberFormat="1" applyFont="1" applyFill="1" applyBorder="1" applyAlignment="1"/>
    <xf numFmtId="165" fontId="18" fillId="2" borderId="5" xfId="0" applyNumberFormat="1" applyFont="1" applyFill="1" applyBorder="1" applyAlignment="1"/>
    <xf numFmtId="165" fontId="4" fillId="2" borderId="6" xfId="0" applyNumberFormat="1" applyFont="1" applyFill="1" applyBorder="1" applyAlignment="1" applyProtection="1">
      <protection locked="0"/>
    </xf>
    <xf numFmtId="49" fontId="18" fillId="2" borderId="5" xfId="0" applyNumberFormat="1" applyFont="1" applyFill="1" applyBorder="1" applyAlignment="1"/>
    <xf numFmtId="4" fontId="18" fillId="2" borderId="5" xfId="0" applyNumberFormat="1" applyFont="1" applyFill="1" applyBorder="1" applyAlignment="1"/>
    <xf numFmtId="4" fontId="18" fillId="2" borderId="5" xfId="1" applyNumberFormat="1" applyFont="1" applyFill="1" applyBorder="1" applyAlignment="1"/>
    <xf numFmtId="49" fontId="18" fillId="2" borderId="5" xfId="0" applyNumberFormat="1" applyFont="1" applyFill="1" applyBorder="1"/>
    <xf numFmtId="49" fontId="4" fillId="3" borderId="8" xfId="0" applyNumberFormat="1" applyFont="1" applyFill="1" applyBorder="1" applyAlignment="1"/>
    <xf numFmtId="165" fontId="4" fillId="3" borderId="8" xfId="0" applyNumberFormat="1" applyFont="1" applyFill="1" applyBorder="1" applyAlignment="1"/>
    <xf numFmtId="15" fontId="18" fillId="3" borderId="8" xfId="0" applyNumberFormat="1" applyFont="1" applyFill="1" applyBorder="1" applyAlignment="1" applyProtection="1">
      <alignment horizontal="center"/>
      <protection locked="0"/>
    </xf>
    <xf numFmtId="49" fontId="18" fillId="3" borderId="8" xfId="0" applyNumberFormat="1" applyFont="1" applyFill="1" applyBorder="1" applyAlignment="1"/>
    <xf numFmtId="4" fontId="18" fillId="3" borderId="8" xfId="0" applyNumberFormat="1" applyFont="1" applyFill="1" applyBorder="1" applyAlignment="1"/>
    <xf numFmtId="49" fontId="4" fillId="3" borderId="9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31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15" fontId="4" fillId="2" borderId="5" xfId="2" applyNumberFormat="1" applyFont="1" applyFill="1" applyBorder="1" applyAlignment="1" applyProtection="1">
      <alignment horizontal="center" vertical="center"/>
      <protection locked="0"/>
    </xf>
    <xf numFmtId="0" fontId="63" fillId="2" borderId="5" xfId="0" applyFont="1" applyFill="1" applyBorder="1"/>
    <xf numFmtId="4" fontId="63" fillId="2" borderId="5" xfId="0" applyNumberFormat="1" applyFont="1" applyFill="1" applyBorder="1"/>
    <xf numFmtId="0" fontId="64" fillId="2" borderId="0" xfId="0" applyFont="1" applyFill="1"/>
    <xf numFmtId="171" fontId="45" fillId="2" borderId="5" xfId="1" applyNumberFormat="1" applyFont="1" applyFill="1" applyBorder="1" applyAlignment="1">
      <alignment horizontal="center" vertical="center"/>
    </xf>
    <xf numFmtId="2" fontId="34" fillId="2" borderId="0" xfId="0" applyNumberFormat="1" applyFont="1" applyFill="1" applyAlignment="1">
      <alignment horizontal="center" vertical="center"/>
    </xf>
    <xf numFmtId="171" fontId="46" fillId="2" borderId="5" xfId="1" applyNumberFormat="1" applyFont="1" applyFill="1" applyBorder="1" applyAlignment="1">
      <alignment horizontal="center" vertical="center"/>
    </xf>
    <xf numFmtId="0" fontId="4" fillId="2" borderId="18" xfId="2" applyNumberFormat="1" applyFont="1" applyFill="1" applyBorder="1" applyAlignment="1" applyProtection="1">
      <alignment horizontal="left" vertical="center" wrapText="1"/>
      <protection locked="0"/>
    </xf>
    <xf numFmtId="0" fontId="4" fillId="2" borderId="20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5" xfId="2" applyNumberFormat="1" applyFont="1" applyFill="1" applyBorder="1" applyAlignment="1" applyProtection="1">
      <alignment horizontal="left" vertical="center" wrapText="1"/>
      <protection locked="0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18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39" fillId="2" borderId="18" xfId="2" applyNumberFormat="1" applyFont="1" applyFill="1" applyBorder="1" applyAlignment="1" applyProtection="1">
      <alignment horizontal="left" vertical="center" wrapText="1"/>
      <protection locked="0"/>
    </xf>
    <xf numFmtId="0" fontId="39" fillId="2" borderId="20" xfId="2" applyNumberFormat="1" applyFont="1" applyFill="1" applyBorder="1" applyAlignment="1" applyProtection="1">
      <alignment horizontal="left" vertical="center" wrapText="1"/>
      <protection locked="0"/>
    </xf>
    <xf numFmtId="0" fontId="39" fillId="2" borderId="15" xfId="2" applyNumberFormat="1" applyFont="1" applyFill="1" applyBorder="1" applyAlignment="1" applyProtection="1">
      <alignment horizontal="left" vertical="center" wrapText="1"/>
      <protection locked="0"/>
    </xf>
    <xf numFmtId="4" fontId="37" fillId="2" borderId="18" xfId="2" applyNumberFormat="1" applyFont="1" applyFill="1" applyBorder="1" applyAlignment="1" applyProtection="1">
      <alignment horizontal="center" vertical="center" wrapText="1"/>
      <protection locked="0"/>
    </xf>
    <xf numFmtId="4" fontId="37" fillId="2" borderId="20" xfId="2" applyNumberFormat="1" applyFont="1" applyFill="1" applyBorder="1" applyAlignment="1" applyProtection="1">
      <alignment horizontal="center" vertical="center" wrapText="1"/>
      <protection locked="0"/>
    </xf>
    <xf numFmtId="4" fontId="37" fillId="2" borderId="15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18" xfId="2" applyNumberFormat="1" applyFont="1" applyFill="1" applyBorder="1" applyAlignment="1" applyProtection="1">
      <alignment horizontal="right" vertical="center" wrapText="1"/>
      <protection locked="0"/>
    </xf>
    <xf numFmtId="4" fontId="1" fillId="2" borderId="20" xfId="2" applyNumberFormat="1" applyFont="1" applyFill="1" applyBorder="1" applyAlignment="1" applyProtection="1">
      <alignment horizontal="right" vertical="center" wrapText="1"/>
      <protection locked="0"/>
    </xf>
    <xf numFmtId="4" fontId="1" fillId="2" borderId="15" xfId="2" applyNumberFormat="1" applyFont="1" applyFill="1" applyBorder="1" applyAlignment="1" applyProtection="1">
      <alignment horizontal="right" vertical="center" wrapText="1"/>
      <protection locked="0"/>
    </xf>
    <xf numFmtId="43" fontId="1" fillId="2" borderId="18" xfId="1" applyFont="1" applyFill="1" applyBorder="1" applyAlignment="1" applyProtection="1">
      <alignment horizontal="center" vertical="center"/>
      <protection locked="0"/>
    </xf>
    <xf numFmtId="43" fontId="1" fillId="2" borderId="20" xfId="1" applyFont="1" applyFill="1" applyBorder="1" applyAlignment="1" applyProtection="1">
      <alignment horizontal="center" vertical="center"/>
      <protection locked="0"/>
    </xf>
    <xf numFmtId="43" fontId="1" fillId="2" borderId="15" xfId="1" applyFont="1" applyFill="1" applyBorder="1" applyAlignment="1" applyProtection="1">
      <alignment horizontal="center" vertical="center"/>
      <protection locked="0"/>
    </xf>
    <xf numFmtId="49" fontId="1" fillId="2" borderId="42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center" vertical="center"/>
    </xf>
    <xf numFmtId="43" fontId="37" fillId="2" borderId="18" xfId="1" applyFont="1" applyFill="1" applyBorder="1" applyAlignment="1" applyProtection="1">
      <alignment horizontal="center" vertical="center"/>
      <protection locked="0"/>
    </xf>
    <xf numFmtId="43" fontId="37" fillId="2" borderId="20" xfId="1" applyFont="1" applyFill="1" applyBorder="1" applyAlignment="1" applyProtection="1">
      <alignment horizontal="center" vertical="center"/>
      <protection locked="0"/>
    </xf>
    <xf numFmtId="43" fontId="37" fillId="2" borderId="15" xfId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9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2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5" xfId="2" applyNumberFormat="1" applyFont="1" applyFill="1" applyBorder="1" applyAlignment="1" applyProtection="1">
      <alignment horizontal="left" vertical="center" wrapText="1"/>
      <protection locked="0"/>
    </xf>
    <xf numFmtId="49" fontId="1" fillId="2" borderId="0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textRotation="90"/>
    </xf>
    <xf numFmtId="49" fontId="1" fillId="2" borderId="4" xfId="0" applyNumberFormat="1" applyFont="1" applyFill="1" applyBorder="1" applyAlignment="1">
      <alignment horizontal="center" vertical="center" textRotation="90"/>
    </xf>
    <xf numFmtId="49" fontId="1" fillId="2" borderId="2" xfId="0" applyNumberFormat="1" applyFont="1" applyFill="1" applyBorder="1" applyAlignment="1">
      <alignment horizontal="center" vertical="center" textRotation="90" wrapText="1"/>
    </xf>
    <xf numFmtId="49" fontId="1" fillId="2" borderId="5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5" xfId="0" applyNumberFormat="1" applyFont="1" applyFill="1" applyBorder="1" applyAlignment="1">
      <alignment horizontal="center" vertical="center" textRotation="90" wrapText="1"/>
    </xf>
    <xf numFmtId="43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2" applyNumberFormat="1" applyFont="1" applyFill="1" applyBorder="1" applyAlignment="1" applyProtection="1">
      <alignment horizontal="left" vertical="center" wrapText="1"/>
      <protection locked="0"/>
    </xf>
    <xf numFmtId="0" fontId="4" fillId="2" borderId="5" xfId="2" applyNumberFormat="1" applyFont="1" applyFill="1" applyBorder="1" applyAlignment="1" applyProtection="1">
      <alignment horizontal="left" vertical="center" wrapText="1"/>
      <protection locked="0"/>
    </xf>
    <xf numFmtId="4" fontId="1" fillId="2" borderId="5" xfId="2" applyNumberFormat="1" applyFont="1" applyFill="1" applyBorder="1" applyAlignment="1" applyProtection="1">
      <alignment vertical="center" wrapText="1"/>
      <protection locked="0"/>
    </xf>
    <xf numFmtId="0" fontId="14" fillId="2" borderId="19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3" fontId="14" fillId="2" borderId="18" xfId="1" applyFont="1" applyFill="1" applyBorder="1" applyAlignment="1">
      <alignment horizontal="right" vertical="center" wrapText="1"/>
    </xf>
    <xf numFmtId="43" fontId="14" fillId="2" borderId="20" xfId="1" applyFont="1" applyFill="1" applyBorder="1" applyAlignment="1">
      <alignment horizontal="right" vertical="center" wrapText="1"/>
    </xf>
    <xf numFmtId="43" fontId="14" fillId="2" borderId="15" xfId="1" applyFont="1" applyFill="1" applyBorder="1" applyAlignment="1">
      <alignment horizontal="right" vertical="center" wrapText="1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20" xfId="0" applyNumberFormat="1" applyFont="1" applyFill="1" applyBorder="1" applyAlignment="1" applyProtection="1">
      <alignment horizontal="center" vertical="center"/>
      <protection locked="0"/>
    </xf>
    <xf numFmtId="49" fontId="14" fillId="2" borderId="15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>
      <alignment vertical="center" wrapText="1"/>
    </xf>
    <xf numFmtId="0" fontId="14" fillId="2" borderId="5" xfId="2" applyNumberFormat="1" applyFont="1" applyFill="1" applyBorder="1" applyAlignment="1" applyProtection="1">
      <alignment horizontal="left" vertical="center" wrapText="1"/>
      <protection locked="0"/>
    </xf>
    <xf numFmtId="43" fontId="14" fillId="2" borderId="5" xfId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 applyProtection="1">
      <alignment horizontal="center"/>
      <protection locked="0"/>
    </xf>
    <xf numFmtId="0" fontId="14" fillId="2" borderId="4" xfId="2" applyNumberFormat="1" applyFont="1" applyFill="1" applyBorder="1" applyAlignment="1" applyProtection="1">
      <alignment vertical="center" wrapText="1"/>
      <protection locked="0"/>
    </xf>
    <xf numFmtId="0" fontId="14" fillId="2" borderId="5" xfId="2" applyNumberFormat="1" applyFont="1" applyFill="1" applyBorder="1" applyAlignment="1" applyProtection="1">
      <alignment horizontal="center" vertical="center" wrapText="1"/>
      <protection locked="0"/>
    </xf>
    <xf numFmtId="43" fontId="14" fillId="2" borderId="5" xfId="1" applyNumberFormat="1" applyFont="1" applyFill="1" applyBorder="1" applyAlignment="1">
      <alignment horizontal="center" vertical="center"/>
    </xf>
    <xf numFmtId="0" fontId="14" fillId="2" borderId="19" xfId="2" applyNumberFormat="1" applyFont="1" applyFill="1" applyBorder="1" applyAlignment="1" applyProtection="1">
      <alignment horizontal="left" vertical="center" wrapText="1"/>
      <protection locked="0"/>
    </xf>
    <xf numFmtId="0" fontId="14" fillId="2" borderId="21" xfId="2" applyNumberFormat="1" applyFont="1" applyFill="1" applyBorder="1" applyAlignment="1" applyProtection="1">
      <alignment horizontal="left" vertical="center" wrapText="1"/>
      <protection locked="0"/>
    </xf>
    <xf numFmtId="0" fontId="14" fillId="2" borderId="12" xfId="2" applyNumberFormat="1" applyFont="1" applyFill="1" applyBorder="1" applyAlignment="1" applyProtection="1">
      <alignment horizontal="left" vertical="center" wrapText="1"/>
      <protection locked="0"/>
    </xf>
    <xf numFmtId="0" fontId="14" fillId="2" borderId="19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12" xfId="2" applyNumberFormat="1" applyFont="1" applyFill="1" applyBorder="1" applyAlignment="1" applyProtection="1">
      <alignment horizontal="center" vertical="center" wrapText="1"/>
      <protection locked="0"/>
    </xf>
    <xf numFmtId="43" fontId="14" fillId="2" borderId="19" xfId="1" applyFont="1" applyFill="1" applyBorder="1" applyAlignment="1" applyProtection="1">
      <alignment horizontal="right" vertical="center" wrapText="1"/>
      <protection locked="0"/>
    </xf>
    <xf numFmtId="43" fontId="14" fillId="2" borderId="21" xfId="1" applyFont="1" applyFill="1" applyBorder="1" applyAlignment="1" applyProtection="1">
      <alignment horizontal="right" vertical="center" wrapText="1"/>
      <protection locked="0"/>
    </xf>
    <xf numFmtId="43" fontId="14" fillId="2" borderId="12" xfId="1" applyFont="1" applyFill="1" applyBorder="1" applyAlignment="1" applyProtection="1">
      <alignment horizontal="right" vertical="center" wrapText="1"/>
      <protection locked="0"/>
    </xf>
    <xf numFmtId="0" fontId="14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15" xfId="2" applyNumberFormat="1" applyFont="1" applyFill="1" applyBorder="1" applyAlignment="1" applyProtection="1">
      <alignment horizontal="center" vertical="center" wrapText="1"/>
      <protection locked="0"/>
    </xf>
    <xf numFmtId="43" fontId="14" fillId="2" borderId="18" xfId="1" applyFont="1" applyFill="1" applyBorder="1" applyAlignment="1" applyProtection="1">
      <alignment horizontal="right" vertical="center"/>
      <protection locked="0"/>
    </xf>
    <xf numFmtId="43" fontId="14" fillId="2" borderId="20" xfId="1" applyFont="1" applyFill="1" applyBorder="1" applyAlignment="1" applyProtection="1">
      <alignment horizontal="right" vertical="center"/>
      <protection locked="0"/>
    </xf>
    <xf numFmtId="43" fontId="14" fillId="2" borderId="15" xfId="1" applyFont="1" applyFill="1" applyBorder="1" applyAlignment="1" applyProtection="1">
      <alignment horizontal="right" vertical="center"/>
      <protection locked="0"/>
    </xf>
    <xf numFmtId="0" fontId="17" fillId="8" borderId="4" xfId="0" applyFont="1" applyFill="1" applyBorder="1" applyAlignment="1">
      <alignment horizontal="left" wrapText="1"/>
    </xf>
    <xf numFmtId="0" fontId="17" fillId="8" borderId="5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left" wrapText="1"/>
    </xf>
    <xf numFmtId="49" fontId="15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left" vertical="center" wrapText="1"/>
    </xf>
    <xf numFmtId="49" fontId="15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textRotation="90" wrapText="1"/>
    </xf>
    <xf numFmtId="49" fontId="14" fillId="2" borderId="5" xfId="0" applyNumberFormat="1" applyFont="1" applyFill="1" applyBorder="1" applyAlignment="1">
      <alignment horizontal="center" vertical="center" textRotation="90" wrapText="1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vertical="top"/>
    </xf>
    <xf numFmtId="43" fontId="14" fillId="2" borderId="19" xfId="1" applyFont="1" applyFill="1" applyBorder="1" applyAlignment="1" applyProtection="1">
      <alignment horizontal="left" vertical="center" wrapText="1"/>
      <protection locked="0"/>
    </xf>
    <xf numFmtId="43" fontId="14" fillId="2" borderId="21" xfId="1" applyFont="1" applyFill="1" applyBorder="1" applyAlignment="1" applyProtection="1">
      <alignment horizontal="left" vertical="center" wrapText="1"/>
      <protection locked="0"/>
    </xf>
    <xf numFmtId="43" fontId="14" fillId="2" borderId="12" xfId="1" applyFont="1" applyFill="1" applyBorder="1" applyAlignment="1" applyProtection="1">
      <alignment horizontal="left" vertical="center" wrapText="1"/>
      <protection locked="0"/>
    </xf>
    <xf numFmtId="43" fontId="14" fillId="2" borderId="18" xfId="1" applyFont="1" applyFill="1" applyBorder="1" applyAlignment="1">
      <alignment horizontal="center" vertical="center"/>
    </xf>
    <xf numFmtId="43" fontId="14" fillId="2" borderId="20" xfId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3" fontId="14" fillId="2" borderId="15" xfId="1" applyFont="1" applyFill="1" applyBorder="1" applyAlignment="1">
      <alignment horizontal="center" vertical="center"/>
    </xf>
    <xf numFmtId="49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32" xfId="0" applyNumberFormat="1" applyFont="1" applyFill="1" applyBorder="1" applyAlignment="1" applyProtection="1">
      <alignment horizontal="center" vertical="center"/>
      <protection locked="0"/>
    </xf>
    <xf numFmtId="49" fontId="14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43" fontId="14" fillId="2" borderId="18" xfId="1" applyNumberFormat="1" applyFont="1" applyFill="1" applyBorder="1" applyAlignment="1">
      <alignment horizontal="right" vertical="center" wrapText="1"/>
    </xf>
    <xf numFmtId="43" fontId="14" fillId="2" borderId="20" xfId="1" applyNumberFormat="1" applyFont="1" applyFill="1" applyBorder="1" applyAlignment="1">
      <alignment horizontal="right" vertical="center" wrapText="1"/>
    </xf>
    <xf numFmtId="43" fontId="14" fillId="2" borderId="15" xfId="1" applyNumberFormat="1" applyFont="1" applyFill="1" applyBorder="1" applyAlignment="1">
      <alignment horizontal="right" vertical="center" wrapText="1"/>
    </xf>
    <xf numFmtId="2" fontId="26" fillId="2" borderId="5" xfId="0" applyNumberFormat="1" applyFont="1" applyFill="1" applyBorder="1" applyAlignment="1" applyProtection="1">
      <alignment horizontal="right" vertical="center"/>
      <protection locked="0"/>
    </xf>
    <xf numFmtId="49" fontId="26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vertical="center" wrapText="1"/>
      <protection locked="0"/>
    </xf>
    <xf numFmtId="49" fontId="0" fillId="2" borderId="4" xfId="0" applyNumberFormat="1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4" xfId="2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 textRotation="90" wrapText="1"/>
    </xf>
    <xf numFmtId="49" fontId="1" fillId="2" borderId="15" xfId="0" applyNumberFormat="1" applyFont="1" applyFill="1" applyBorder="1" applyAlignment="1">
      <alignment horizontal="center" vertical="center" textRotation="90" wrapText="1"/>
    </xf>
    <xf numFmtId="43" fontId="26" fillId="2" borderId="5" xfId="1" applyNumberFormat="1" applyFont="1" applyFill="1" applyBorder="1" applyAlignment="1">
      <alignment horizontal="center" vertical="center"/>
    </xf>
    <xf numFmtId="49" fontId="29" fillId="2" borderId="0" xfId="0" applyNumberFormat="1" applyFont="1" applyFill="1" applyBorder="1" applyAlignment="1">
      <alignment horizontal="left" vertical="center"/>
    </xf>
    <xf numFmtId="43" fontId="26" fillId="2" borderId="5" xfId="1" applyFont="1" applyFill="1" applyBorder="1" applyAlignment="1" applyProtection="1">
      <alignment horizontal="right" vertical="center"/>
      <protection locked="0"/>
    </xf>
    <xf numFmtId="49" fontId="55" fillId="2" borderId="0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29" fillId="7" borderId="4" xfId="0" applyNumberFormat="1" applyFont="1" applyFill="1" applyBorder="1" applyAlignment="1">
      <alignment horizontal="left"/>
    </xf>
    <xf numFmtId="49" fontId="29" fillId="7" borderId="5" xfId="0" applyNumberFormat="1" applyFont="1" applyFill="1" applyBorder="1" applyAlignment="1">
      <alignment horizontal="left"/>
    </xf>
    <xf numFmtId="49" fontId="62" fillId="3" borderId="5" xfId="0" applyNumberFormat="1" applyFont="1" applyFill="1" applyBorder="1" applyAlignment="1" applyProtection="1">
      <alignment horizontal="center" vertical="center"/>
      <protection locked="0"/>
    </xf>
    <xf numFmtId="49" fontId="29" fillId="7" borderId="13" xfId="0" applyNumberFormat="1" applyFont="1" applyFill="1" applyBorder="1" applyAlignment="1">
      <alignment horizontal="left" wrapText="1"/>
    </xf>
    <xf numFmtId="49" fontId="29" fillId="7" borderId="22" xfId="0" applyNumberFormat="1" applyFont="1" applyFill="1" applyBorder="1" applyAlignment="1">
      <alignment horizontal="left" wrapText="1"/>
    </xf>
    <xf numFmtId="43" fontId="4" fillId="0" borderId="18" xfId="1" applyFont="1" applyFill="1" applyBorder="1" applyAlignment="1" applyProtection="1">
      <alignment horizontal="center" vertical="center"/>
      <protection locked="0"/>
    </xf>
    <xf numFmtId="43" fontId="4" fillId="0" borderId="20" xfId="1" applyFont="1" applyFill="1" applyBorder="1" applyAlignment="1" applyProtection="1">
      <alignment horizontal="center" vertical="center"/>
      <protection locked="0"/>
    </xf>
    <xf numFmtId="43" fontId="4" fillId="0" borderId="60" xfId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60" xfId="0" applyNumberFormat="1" applyFont="1" applyFill="1" applyBorder="1" applyAlignment="1" applyProtection="1">
      <alignment horizontal="center" vertical="center"/>
      <protection locked="0"/>
    </xf>
    <xf numFmtId="0" fontId="4" fillId="0" borderId="59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2" applyNumberFormat="1" applyFont="1" applyFill="1" applyBorder="1" applyAlignment="1" applyProtection="1">
      <alignment horizontal="center" vertical="center" wrapText="1"/>
      <protection locked="0"/>
    </xf>
    <xf numFmtId="49" fontId="41" fillId="2" borderId="27" xfId="0" applyNumberFormat="1" applyFont="1" applyFill="1" applyBorder="1" applyAlignment="1">
      <alignment horizontal="center" vertical="center"/>
    </xf>
    <xf numFmtId="49" fontId="41" fillId="2" borderId="3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54" fillId="2" borderId="5" xfId="0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 applyProtection="1">
      <alignment horizontal="left" vertical="center" wrapText="1"/>
      <protection locked="0"/>
    </xf>
    <xf numFmtId="0" fontId="1" fillId="2" borderId="5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18" xfId="0" applyNumberFormat="1" applyFont="1" applyFill="1" applyBorder="1" applyAlignment="1" applyProtection="1">
      <alignment horizontal="center" vertical="center"/>
      <protection locked="0"/>
    </xf>
    <xf numFmtId="4" fontId="1" fillId="2" borderId="20" xfId="0" applyNumberFormat="1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49" fontId="1" fillId="2" borderId="20" xfId="0" applyNumberFormat="1" applyFont="1" applyFill="1" applyBorder="1" applyAlignment="1" applyProtection="1">
      <alignment horizontal="center" vertical="center"/>
      <protection locked="0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3" fontId="4" fillId="2" borderId="18" xfId="1" applyFont="1" applyFill="1" applyBorder="1" applyAlignment="1" applyProtection="1">
      <alignment horizontal="center" vertical="center"/>
      <protection locked="0"/>
    </xf>
    <xf numFmtId="43" fontId="4" fillId="2" borderId="20" xfId="1" applyFont="1" applyFill="1" applyBorder="1" applyAlignment="1" applyProtection="1">
      <alignment horizontal="center" vertical="center"/>
      <protection locked="0"/>
    </xf>
    <xf numFmtId="43" fontId="4" fillId="2" borderId="15" xfId="1" applyFont="1" applyFill="1" applyBorder="1" applyAlignment="1" applyProtection="1">
      <alignment horizontal="center" vertical="center"/>
      <protection locked="0"/>
    </xf>
    <xf numFmtId="43" fontId="4" fillId="0" borderId="15" xfId="1" applyFont="1" applyFill="1" applyBorder="1" applyAlignment="1" applyProtection="1">
      <alignment horizontal="center" vertical="center"/>
      <protection locked="0"/>
    </xf>
    <xf numFmtId="4" fontId="4" fillId="2" borderId="18" xfId="0" applyNumberFormat="1" applyFont="1" applyFill="1" applyBorder="1" applyAlignment="1" applyProtection="1">
      <alignment horizontal="center" vertical="center"/>
      <protection locked="0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4" fontId="4" fillId="2" borderId="60" xfId="0" applyNumberFormat="1" applyFont="1" applyFill="1" applyBorder="1" applyAlignment="1" applyProtection="1">
      <alignment horizontal="center" vertical="center"/>
      <protection locked="0"/>
    </xf>
    <xf numFmtId="0" fontId="18" fillId="0" borderId="49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56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58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8" xfId="2" applyNumberFormat="1" applyFont="1" applyFill="1" applyBorder="1" applyAlignment="1" applyProtection="1">
      <alignment horizontal="center" vertical="center" wrapText="1"/>
      <protection locked="0"/>
    </xf>
    <xf numFmtId="49" fontId="18" fillId="0" borderId="5" xfId="0" applyNumberFormat="1" applyFont="1" applyFill="1" applyBorder="1" applyAlignment="1" applyProtection="1">
      <alignment horizontal="center" vertical="center"/>
      <protection locked="0"/>
    </xf>
    <xf numFmtId="43" fontId="18" fillId="2" borderId="5" xfId="1" applyFont="1" applyFill="1" applyBorder="1" applyAlignment="1">
      <alignment horizontal="center" vertical="center"/>
    </xf>
    <xf numFmtId="49" fontId="19" fillId="0" borderId="51" xfId="0" applyNumberFormat="1" applyFont="1" applyFill="1" applyBorder="1" applyAlignment="1">
      <alignment horizontal="center" vertical="center"/>
    </xf>
    <xf numFmtId="49" fontId="19" fillId="0" borderId="52" xfId="0" applyNumberFormat="1" applyFont="1" applyFill="1" applyBorder="1" applyAlignment="1">
      <alignment horizontal="center" vertical="center"/>
    </xf>
    <xf numFmtId="49" fontId="19" fillId="0" borderId="53" xfId="0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/>
    </xf>
    <xf numFmtId="49" fontId="25" fillId="0" borderId="31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0" fontId="18" fillId="0" borderId="57" xfId="2" applyNumberFormat="1" applyFont="1" applyFill="1" applyBorder="1" applyAlignment="1" applyProtection="1">
      <alignment horizontal="left" vertical="center" wrapText="1"/>
      <protection locked="0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textRotation="90" wrapText="1"/>
    </xf>
    <xf numFmtId="0" fontId="18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18" fillId="0" borderId="18" xfId="0" applyNumberFormat="1" applyFont="1" applyFill="1" applyBorder="1" applyAlignment="1" applyProtection="1">
      <alignment horizontal="center" vertical="center"/>
      <protection locked="0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>
      <alignment horizontal="center" vertical="center" textRotation="90"/>
    </xf>
    <xf numFmtId="49" fontId="18" fillId="0" borderId="5" xfId="0" applyNumberFormat="1" applyFont="1" applyFill="1" applyBorder="1" applyAlignment="1">
      <alignment horizontal="center" vertical="center" wrapText="1"/>
    </xf>
    <xf numFmtId="43" fontId="18" fillId="0" borderId="5" xfId="1" applyFont="1" applyFill="1" applyBorder="1" applyAlignment="1">
      <alignment horizontal="center" vertical="center"/>
    </xf>
    <xf numFmtId="0" fontId="18" fillId="0" borderId="4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18" fillId="0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18" xfId="2" applyNumberFormat="1" applyFont="1" applyFill="1" applyBorder="1" applyAlignment="1" applyProtection="1">
      <alignment horizontal="left" vertical="center" wrapText="1"/>
      <protection locked="0"/>
    </xf>
    <xf numFmtId="49" fontId="18" fillId="0" borderId="20" xfId="0" applyNumberFormat="1" applyFont="1" applyFill="1" applyBorder="1" applyAlignment="1" applyProtection="1">
      <alignment horizontal="center" vertical="center"/>
      <protection locked="0"/>
    </xf>
    <xf numFmtId="0" fontId="18" fillId="0" borderId="20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2" applyNumberFormat="1" applyFont="1" applyFill="1" applyBorder="1" applyAlignment="1" applyProtection="1">
      <alignment horizontal="left" vertical="center" wrapText="1"/>
      <protection locked="0"/>
    </xf>
    <xf numFmtId="43" fontId="18" fillId="0" borderId="18" xfId="1" applyFont="1" applyFill="1" applyBorder="1" applyAlignment="1">
      <alignment horizontal="center" vertical="center"/>
    </xf>
    <xf numFmtId="43" fontId="18" fillId="0" borderId="20" xfId="1" applyFont="1" applyFill="1" applyBorder="1" applyAlignment="1">
      <alignment horizontal="center" vertical="center"/>
    </xf>
    <xf numFmtId="43" fontId="18" fillId="0" borderId="15" xfId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19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7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8" xfId="2" applyNumberFormat="1" applyFont="1" applyFill="1" applyBorder="1" applyAlignment="1" applyProtection="1">
      <alignment horizontal="center" vertical="center" wrapText="1"/>
      <protection locked="0"/>
    </xf>
    <xf numFmtId="43" fontId="18" fillId="0" borderId="8" xfId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left" vertical="center"/>
    </xf>
    <xf numFmtId="4" fontId="61" fillId="0" borderId="5" xfId="0" applyNumberFormat="1" applyFont="1" applyFill="1" applyBorder="1" applyAlignment="1" applyProtection="1">
      <alignment horizontal="center" vertical="center"/>
      <protection locked="0"/>
    </xf>
    <xf numFmtId="0" fontId="60" fillId="0" borderId="47" xfId="2" applyNumberFormat="1" applyFont="1" applyFill="1" applyBorder="1" applyAlignment="1" applyProtection="1">
      <alignment horizontal="left" vertical="center" wrapText="1"/>
      <protection locked="0"/>
    </xf>
    <xf numFmtId="49" fontId="61" fillId="0" borderId="5" xfId="0" applyNumberFormat="1" applyFont="1" applyFill="1" applyBorder="1" applyAlignment="1" applyProtection="1">
      <alignment horizontal="center" vertical="center"/>
      <protection locked="0"/>
    </xf>
    <xf numFmtId="49" fontId="6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1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2" borderId="61" xfId="2" applyNumberFormat="1" applyFont="1" applyFill="1" applyBorder="1" applyAlignment="1" applyProtection="1">
      <alignment horizontal="left" vertical="center" wrapText="1"/>
      <protection locked="0"/>
    </xf>
    <xf numFmtId="0" fontId="18" fillId="2" borderId="62" xfId="2" applyNumberFormat="1" applyFont="1" applyFill="1" applyBorder="1" applyAlignment="1" applyProtection="1">
      <alignment horizontal="left" vertical="center" wrapText="1"/>
      <protection locked="0"/>
    </xf>
    <xf numFmtId="0" fontId="18" fillId="2" borderId="44" xfId="2" applyNumberFormat="1" applyFont="1" applyFill="1" applyBorder="1" applyAlignment="1" applyProtection="1">
      <alignment horizontal="left" vertical="center" wrapText="1"/>
      <protection locked="0"/>
    </xf>
    <xf numFmtId="49" fontId="19" fillId="2" borderId="27" xfId="0" applyNumberFormat="1" applyFont="1" applyFill="1" applyBorder="1" applyAlignment="1">
      <alignment horizontal="center" vertical="center"/>
    </xf>
    <xf numFmtId="49" fontId="19" fillId="2" borderId="31" xfId="0" applyNumberFormat="1" applyFont="1" applyFill="1" applyBorder="1" applyAlignment="1">
      <alignment horizontal="center" vertical="center"/>
    </xf>
    <xf numFmtId="0" fontId="18" fillId="2" borderId="4" xfId="2" applyNumberFormat="1" applyFont="1" applyFill="1" applyBorder="1" applyAlignment="1" applyProtection="1">
      <alignment horizontal="left" vertical="center" wrapText="1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20" xfId="0" applyNumberFormat="1" applyFont="1" applyFill="1" applyBorder="1" applyAlignment="1" applyProtection="1">
      <alignment horizontal="center" vertical="center"/>
      <protection locked="0"/>
    </xf>
    <xf numFmtId="49" fontId="18" fillId="2" borderId="15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8" xfId="0" applyNumberFormat="1" applyFont="1" applyFill="1" applyBorder="1" applyAlignment="1" applyProtection="1">
      <alignment horizontal="right" vertical="center"/>
      <protection locked="0"/>
    </xf>
    <xf numFmtId="4" fontId="18" fillId="2" borderId="20" xfId="0" applyNumberFormat="1" applyFont="1" applyFill="1" applyBorder="1" applyAlignment="1" applyProtection="1">
      <alignment horizontal="right" vertical="center"/>
      <protection locked="0"/>
    </xf>
    <xf numFmtId="4" fontId="18" fillId="2" borderId="15" xfId="0" applyNumberFormat="1" applyFont="1" applyFill="1" applyBorder="1" applyAlignment="1" applyProtection="1">
      <alignment horizontal="right" vertical="center"/>
      <protection locked="0"/>
    </xf>
    <xf numFmtId="49" fontId="18" fillId="2" borderId="26" xfId="0" applyNumberFormat="1" applyFont="1" applyFill="1" applyBorder="1" applyAlignment="1" applyProtection="1">
      <alignment horizontal="center" vertical="center"/>
      <protection locked="0"/>
    </xf>
    <xf numFmtId="49" fontId="18" fillId="2" borderId="23" xfId="0" applyNumberFormat="1" applyFont="1" applyFill="1" applyBorder="1" applyAlignment="1" applyProtection="1">
      <alignment horizontal="center" vertical="center"/>
      <protection locked="0"/>
    </xf>
    <xf numFmtId="49" fontId="18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18" fillId="2" borderId="26" xfId="2" applyNumberFormat="1" applyFont="1" applyFill="1" applyBorder="1" applyAlignment="1" applyProtection="1">
      <alignment horizontal="center" vertical="center" wrapText="1"/>
      <protection locked="0"/>
    </xf>
    <xf numFmtId="0" fontId="18" fillId="2" borderId="23" xfId="2" applyNumberFormat="1" applyFont="1" applyFill="1" applyBorder="1" applyAlignment="1" applyProtection="1">
      <alignment horizontal="center" vertical="center" wrapText="1"/>
      <protection locked="0"/>
    </xf>
    <xf numFmtId="0" fontId="18" fillId="2" borderId="28" xfId="2" applyNumberFormat="1" applyFont="1" applyFill="1" applyBorder="1" applyAlignment="1" applyProtection="1">
      <alignment horizontal="center" vertical="center" wrapText="1"/>
      <protection locked="0"/>
    </xf>
    <xf numFmtId="43" fontId="18" fillId="2" borderId="5" xfId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5" xfId="0" applyNumberFormat="1" applyFont="1" applyFill="1" applyBorder="1" applyAlignment="1">
      <alignment horizontal="center" vertical="center"/>
    </xf>
    <xf numFmtId="49" fontId="18" fillId="2" borderId="19" xfId="0" applyNumberFormat="1" applyFont="1" applyFill="1" applyBorder="1" applyAlignment="1">
      <alignment horizontal="center" vertical="center"/>
    </xf>
    <xf numFmtId="49" fontId="18" fillId="2" borderId="18" xfId="0" applyNumberFormat="1" applyFont="1" applyFill="1" applyBorder="1" applyAlignment="1">
      <alignment horizontal="center" vertical="center"/>
    </xf>
    <xf numFmtId="0" fontId="18" fillId="2" borderId="13" xfId="2" applyNumberFormat="1" applyFont="1" applyFill="1" applyBorder="1" applyAlignment="1" applyProtection="1">
      <alignment horizontal="left" vertical="center" wrapText="1"/>
      <protection locked="0"/>
    </xf>
    <xf numFmtId="49" fontId="41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Border="1" applyAlignment="1">
      <alignment horizontal="left" vertical="center"/>
    </xf>
    <xf numFmtId="49" fontId="30" fillId="2" borderId="1" xfId="0" applyNumberFormat="1" applyFont="1" applyFill="1" applyBorder="1" applyAlignment="1">
      <alignment horizontal="center" vertical="center" textRotation="90"/>
    </xf>
    <xf numFmtId="49" fontId="30" fillId="2" borderId="4" xfId="0" applyNumberFormat="1" applyFont="1" applyFill="1" applyBorder="1" applyAlignment="1">
      <alignment horizontal="center" vertical="center" textRotation="90"/>
    </xf>
    <xf numFmtId="49" fontId="30" fillId="2" borderId="45" xfId="0" applyNumberFormat="1" applyFont="1" applyFill="1" applyBorder="1" applyAlignment="1">
      <alignment horizontal="center" vertical="center" textRotation="90" wrapText="1"/>
    </xf>
    <xf numFmtId="0" fontId="0" fillId="0" borderId="20" xfId="0" applyBorder="1"/>
    <xf numFmtId="0" fontId="0" fillId="0" borderId="15" xfId="0" applyBorder="1"/>
    <xf numFmtId="49" fontId="30" fillId="2" borderId="27" xfId="0" applyNumberFormat="1" applyFont="1" applyFill="1" applyBorder="1" applyAlignment="1">
      <alignment horizontal="center" vertical="center"/>
    </xf>
    <xf numFmtId="49" fontId="30" fillId="2" borderId="31" xfId="0" applyNumberFormat="1" applyFont="1" applyFill="1" applyBorder="1" applyAlignment="1">
      <alignment horizontal="center" vertical="center"/>
    </xf>
    <xf numFmtId="49" fontId="30" fillId="2" borderId="26" xfId="0" applyNumberFormat="1" applyFont="1" applyFill="1" applyBorder="1" applyAlignment="1">
      <alignment horizontal="center" vertical="center"/>
    </xf>
    <xf numFmtId="49" fontId="30" fillId="2" borderId="16" xfId="0" applyNumberFormat="1" applyFont="1" applyFill="1" applyBorder="1" applyAlignment="1">
      <alignment horizontal="center" vertical="center"/>
    </xf>
    <xf numFmtId="49" fontId="30" fillId="2" borderId="30" xfId="0" applyNumberFormat="1" applyFont="1" applyFill="1" applyBorder="1" applyAlignment="1">
      <alignment horizontal="center" vertical="center"/>
    </xf>
    <xf numFmtId="49" fontId="30" fillId="2" borderId="28" xfId="0" applyNumberFormat="1" applyFont="1" applyFill="1" applyBorder="1" applyAlignment="1">
      <alignment horizontal="center" vertical="center"/>
    </xf>
    <xf numFmtId="49" fontId="30" fillId="2" borderId="37" xfId="0" applyNumberFormat="1" applyFont="1" applyFill="1" applyBorder="1" applyAlignment="1">
      <alignment horizontal="center" vertical="center" wrapText="1"/>
    </xf>
    <xf numFmtId="49" fontId="30" fillId="2" borderId="38" xfId="0" applyNumberFormat="1" applyFont="1" applyFill="1" applyBorder="1" applyAlignment="1">
      <alignment horizontal="center" vertical="center" wrapText="1"/>
    </xf>
    <xf numFmtId="49" fontId="30" fillId="2" borderId="16" xfId="0" applyNumberFormat="1" applyFont="1" applyFill="1" applyBorder="1" applyAlignment="1">
      <alignment horizontal="center" vertical="center" wrapText="1"/>
    </xf>
    <xf numFmtId="49" fontId="30" fillId="2" borderId="28" xfId="0" applyNumberFormat="1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center" vertical="center"/>
    </xf>
    <xf numFmtId="49" fontId="30" fillId="2" borderId="37" xfId="0" applyNumberFormat="1" applyFont="1" applyFill="1" applyBorder="1" applyAlignment="1">
      <alignment horizontal="center" vertical="center"/>
    </xf>
    <xf numFmtId="49" fontId="30" fillId="2" borderId="39" xfId="0" applyNumberFormat="1" applyFont="1" applyFill="1" applyBorder="1" applyAlignment="1">
      <alignment horizontal="center" vertical="center"/>
    </xf>
    <xf numFmtId="49" fontId="30" fillId="2" borderId="38" xfId="0" applyNumberFormat="1" applyFont="1" applyFill="1" applyBorder="1" applyAlignment="1">
      <alignment horizontal="center" vertical="center"/>
    </xf>
    <xf numFmtId="49" fontId="30" fillId="2" borderId="40" xfId="0" applyNumberFormat="1" applyFont="1" applyFill="1" applyBorder="1" applyAlignment="1">
      <alignment horizontal="center" vertical="center"/>
    </xf>
    <xf numFmtId="49" fontId="30" fillId="2" borderId="41" xfId="0" applyNumberFormat="1" applyFont="1" applyFill="1" applyBorder="1" applyAlignment="1">
      <alignment horizontal="center" vertical="center"/>
    </xf>
    <xf numFmtId="49" fontId="30" fillId="2" borderId="27" xfId="0" applyNumberFormat="1" applyFont="1" applyFill="1" applyBorder="1" applyAlignment="1">
      <alignment horizontal="center" vertical="center" textRotation="90" wrapText="1"/>
    </xf>
    <xf numFmtId="49" fontId="30" fillId="2" borderId="16" xfId="0" applyNumberFormat="1" applyFont="1" applyFill="1" applyBorder="1" applyAlignment="1">
      <alignment horizontal="center" vertical="center" textRotation="90" wrapText="1"/>
    </xf>
    <xf numFmtId="49" fontId="30" fillId="2" borderId="18" xfId="0" applyNumberFormat="1" applyFont="1" applyFill="1" applyBorder="1" applyAlignment="1">
      <alignment horizontal="center" vertical="center" textRotation="90" wrapText="1"/>
    </xf>
    <xf numFmtId="49" fontId="30" fillId="2" borderId="15" xfId="0" applyNumberFormat="1" applyFont="1" applyFill="1" applyBorder="1" applyAlignment="1">
      <alignment horizontal="center" vertical="center" textRotation="90" wrapText="1"/>
    </xf>
    <xf numFmtId="43" fontId="30" fillId="2" borderId="18" xfId="1" applyFont="1" applyFill="1" applyBorder="1" applyAlignment="1">
      <alignment horizontal="center" vertical="center"/>
    </xf>
    <xf numFmtId="43" fontId="30" fillId="2" borderId="20" xfId="1" applyFont="1" applyFill="1" applyBorder="1" applyAlignment="1">
      <alignment horizontal="center" vertical="center"/>
    </xf>
    <xf numFmtId="43" fontId="30" fillId="2" borderId="15" xfId="1" applyFont="1" applyFill="1" applyBorder="1" applyAlignment="1">
      <alignment horizontal="center" vertical="center"/>
    </xf>
    <xf numFmtId="0" fontId="30" fillId="2" borderId="4" xfId="2" applyNumberFormat="1" applyFont="1" applyFill="1" applyBorder="1" applyAlignment="1" applyProtection="1">
      <alignment horizontal="left" vertical="center" wrapText="1"/>
      <protection locked="0"/>
    </xf>
    <xf numFmtId="0" fontId="30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30" fillId="2" borderId="18" xfId="0" applyNumberFormat="1" applyFont="1" applyFill="1" applyBorder="1" applyAlignment="1" applyProtection="1">
      <alignment horizontal="center" vertical="center"/>
      <protection locked="0"/>
    </xf>
    <xf numFmtId="49" fontId="30" fillId="2" borderId="20" xfId="0" applyNumberFormat="1" applyFont="1" applyFill="1" applyBorder="1" applyAlignment="1" applyProtection="1">
      <alignment horizontal="center" vertical="center"/>
      <protection locked="0"/>
    </xf>
    <xf numFmtId="49" fontId="30" fillId="2" borderId="15" xfId="0" applyNumberFormat="1" applyFont="1" applyFill="1" applyBorder="1" applyAlignment="1" applyProtection="1">
      <alignment horizontal="center" vertical="center"/>
      <protection locked="0"/>
    </xf>
    <xf numFmtId="49" fontId="45" fillId="2" borderId="5" xfId="0" applyNumberFormat="1" applyFont="1" applyFill="1" applyBorder="1" applyAlignment="1">
      <alignment horizontal="left" vertical="center"/>
    </xf>
    <xf numFmtId="0" fontId="30" fillId="2" borderId="5" xfId="2" applyNumberFormat="1" applyFont="1" applyFill="1" applyBorder="1" applyAlignment="1" applyProtection="1">
      <alignment horizontal="left" vertical="center" wrapText="1"/>
      <protection locked="0"/>
    </xf>
    <xf numFmtId="49" fontId="33" fillId="2" borderId="0" xfId="0" applyNumberFormat="1" applyFont="1" applyFill="1" applyBorder="1" applyAlignment="1">
      <alignment horizontal="center" vertical="center" textRotation="90" wrapText="1"/>
    </xf>
    <xf numFmtId="49" fontId="33" fillId="2" borderId="0" xfId="0" applyNumberFormat="1" applyFont="1" applyFill="1" applyBorder="1" applyAlignment="1">
      <alignment horizontal="center" vertical="center" wrapText="1"/>
    </xf>
    <xf numFmtId="49" fontId="33" fillId="2" borderId="0" xfId="0" applyNumberFormat="1" applyFont="1" applyFill="1" applyBorder="1" applyAlignment="1">
      <alignment horizontal="center" vertical="center"/>
    </xf>
    <xf numFmtId="49" fontId="34" fillId="2" borderId="0" xfId="0" applyNumberFormat="1" applyFont="1" applyFill="1" applyBorder="1" applyAlignment="1">
      <alignment horizontal="center" vertical="center"/>
    </xf>
    <xf numFmtId="49" fontId="34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34" fillId="2" borderId="0" xfId="0" applyNumberFormat="1" applyFont="1" applyFill="1" applyBorder="1" applyAlignment="1" applyProtection="1">
      <alignment horizontal="center" vertical="center"/>
      <protection locked="0"/>
    </xf>
    <xf numFmtId="0" fontId="33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43" fillId="2" borderId="0" xfId="0" applyNumberFormat="1" applyFont="1" applyFill="1" applyBorder="1" applyAlignment="1" applyProtection="1">
      <alignment horizontal="center" vertical="center"/>
      <protection locked="0"/>
    </xf>
    <xf numFmtId="49" fontId="4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20" xfId="0" applyNumberFormat="1" applyFont="1" applyFill="1" applyBorder="1" applyAlignment="1">
      <alignment horizontal="center" vertical="center" textRotation="90" wrapText="1"/>
    </xf>
    <xf numFmtId="49" fontId="29" fillId="2" borderId="0" xfId="0" applyNumberFormat="1" applyFont="1" applyFill="1" applyAlignment="1">
      <alignment horizontal="center" vertical="center"/>
    </xf>
    <xf numFmtId="49" fontId="29" fillId="2" borderId="5" xfId="0" applyNumberFormat="1" applyFont="1" applyFill="1" applyBorder="1" applyAlignment="1">
      <alignment horizontal="center" vertical="center"/>
    </xf>
    <xf numFmtId="49" fontId="29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/>
    <xf numFmtId="49" fontId="29" fillId="2" borderId="5" xfId="0" applyNumberFormat="1" applyFont="1" applyFill="1" applyBorder="1" applyAlignment="1">
      <alignment horizontal="center" vertical="center" textRotation="90" wrapText="1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" fontId="2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>
      <alignment horizontal="center" vertical="center"/>
    </xf>
    <xf numFmtId="49" fontId="29" fillId="2" borderId="2" xfId="0" applyNumberFormat="1" applyFont="1" applyFill="1" applyBorder="1" applyAlignment="1">
      <alignment horizontal="center" vertical="center" textRotation="90" wrapText="1"/>
    </xf>
    <xf numFmtId="49" fontId="29" fillId="2" borderId="7" xfId="0" applyNumberFormat="1" applyFont="1" applyFill="1" applyBorder="1" applyAlignment="1">
      <alignment horizontal="left" vertical="center"/>
    </xf>
    <xf numFmtId="49" fontId="29" fillId="2" borderId="8" xfId="0" applyNumberFormat="1" applyFont="1" applyFill="1" applyBorder="1" applyAlignment="1">
      <alignment horizontal="left" vertical="center"/>
    </xf>
    <xf numFmtId="0" fontId="29" fillId="2" borderId="4" xfId="2" applyNumberFormat="1" applyFont="1" applyFill="1" applyBorder="1" applyAlignment="1" applyProtection="1">
      <alignment horizontal="center" vertical="center" wrapText="1"/>
      <protection locked="0"/>
    </xf>
    <xf numFmtId="49" fontId="26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80" zoomScaleNormal="8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B20" sqref="B20:B23"/>
    </sheetView>
  </sheetViews>
  <sheetFormatPr defaultColWidth="8.6640625" defaultRowHeight="13.8" x14ac:dyDescent="0.25"/>
  <cols>
    <col min="1" max="1" width="3.6640625" style="58" customWidth="1"/>
    <col min="2" max="2" width="22.88671875" style="124" customWidth="1"/>
    <col min="3" max="3" width="23" style="125" customWidth="1"/>
    <col min="4" max="4" width="5.5546875" style="61" customWidth="1"/>
    <col min="5" max="5" width="13.44140625" style="61" bestFit="1" customWidth="1"/>
    <col min="6" max="6" width="5.33203125" style="61" customWidth="1"/>
    <col min="7" max="7" width="6.33203125" style="61" customWidth="1"/>
    <col min="8" max="8" width="5.88671875" style="61" customWidth="1"/>
    <col min="9" max="9" width="8.44140625" style="61" customWidth="1"/>
    <col min="10" max="10" width="13.44140625" style="61" customWidth="1"/>
    <col min="11" max="11" width="9.88671875" style="61" customWidth="1"/>
    <col min="12" max="12" width="10.88671875" style="61" customWidth="1"/>
    <col min="13" max="13" width="12.33203125" style="61" customWidth="1"/>
    <col min="14" max="14" width="11.109375" style="61" customWidth="1"/>
    <col min="15" max="15" width="13" style="61" customWidth="1"/>
    <col min="16" max="16" width="6.5546875" style="64" customWidth="1"/>
    <col min="17" max="17" width="7.44140625" style="61" customWidth="1"/>
    <col min="18" max="18" width="13.44140625" style="61" customWidth="1"/>
    <col min="19" max="19" width="11.44140625" style="65" customWidth="1"/>
    <col min="20" max="20" width="11.109375" style="65" customWidth="1"/>
    <col min="21" max="21" width="9" style="64" customWidth="1"/>
    <col min="22" max="22" width="12.6640625" style="61" customWidth="1"/>
    <col min="23" max="23" width="12.88671875" style="61" customWidth="1"/>
    <col min="24" max="16384" width="8.6640625" style="61"/>
  </cols>
  <sheetData>
    <row r="1" spans="1:23" x14ac:dyDescent="0.25">
      <c r="B1" s="643" t="s">
        <v>0</v>
      </c>
      <c r="C1" s="643"/>
      <c r="D1" s="643"/>
      <c r="E1" s="643"/>
      <c r="F1" s="643"/>
      <c r="G1" s="59"/>
      <c r="H1" s="59"/>
      <c r="I1" s="59"/>
      <c r="J1" s="59"/>
      <c r="K1" s="59"/>
      <c r="L1" s="60">
        <v>16.91</v>
      </c>
      <c r="N1" s="62"/>
      <c r="O1" s="63"/>
    </row>
    <row r="2" spans="1:23" ht="15" customHeight="1" x14ac:dyDescent="0.25">
      <c r="B2" s="66" t="s">
        <v>1</v>
      </c>
      <c r="C2" s="644" t="s">
        <v>2</v>
      </c>
      <c r="D2" s="644"/>
      <c r="E2" s="644"/>
      <c r="F2" s="644"/>
      <c r="G2" s="644"/>
      <c r="H2" s="644"/>
      <c r="I2" s="644"/>
      <c r="M2" s="67"/>
      <c r="N2" s="63"/>
      <c r="O2" s="63"/>
      <c r="S2" s="68">
        <v>17.349900000000002</v>
      </c>
    </row>
    <row r="3" spans="1:23" x14ac:dyDescent="0.25">
      <c r="B3" s="66" t="s">
        <v>3</v>
      </c>
      <c r="C3" s="644" t="s">
        <v>4</v>
      </c>
      <c r="D3" s="644"/>
      <c r="E3" s="644"/>
      <c r="F3" s="644"/>
      <c r="G3" s="644"/>
      <c r="H3" s="644"/>
      <c r="I3" s="69"/>
      <c r="J3" s="70" t="s">
        <v>5</v>
      </c>
      <c r="K3" s="71"/>
      <c r="L3" s="59"/>
      <c r="M3" s="59"/>
      <c r="N3" s="59"/>
      <c r="O3" s="59"/>
      <c r="P3" s="72"/>
      <c r="Q3" s="59"/>
      <c r="R3" s="59"/>
      <c r="S3" s="73"/>
      <c r="T3" s="73"/>
      <c r="U3" s="74"/>
      <c r="V3" s="75"/>
      <c r="W3" s="75"/>
    </row>
    <row r="4" spans="1:23" ht="14.4" thickBot="1" x14ac:dyDescent="0.3">
      <c r="B4" s="76" t="s">
        <v>6</v>
      </c>
      <c r="C4" s="77"/>
      <c r="D4" s="69"/>
      <c r="E4" s="69"/>
      <c r="F4" s="69"/>
      <c r="G4" s="69"/>
      <c r="H4" s="69"/>
      <c r="I4" s="69"/>
      <c r="J4" s="71"/>
      <c r="K4" s="71"/>
      <c r="L4" s="75"/>
      <c r="M4" s="75"/>
      <c r="N4" s="75"/>
      <c r="O4" s="75"/>
      <c r="P4" s="74"/>
      <c r="Q4" s="75"/>
      <c r="R4" s="75"/>
      <c r="S4" s="78"/>
      <c r="T4" s="78"/>
      <c r="U4" s="74"/>
      <c r="V4" s="75"/>
      <c r="W4" s="75"/>
    </row>
    <row r="5" spans="1:23" s="83" customFormat="1" ht="41.4" x14ac:dyDescent="0.3">
      <c r="A5" s="645" t="s">
        <v>7</v>
      </c>
      <c r="B5" s="647" t="s">
        <v>8</v>
      </c>
      <c r="C5" s="79"/>
      <c r="D5" s="294" t="s">
        <v>9</v>
      </c>
      <c r="E5" s="294"/>
      <c r="F5" s="647" t="s">
        <v>10</v>
      </c>
      <c r="G5" s="647" t="s">
        <v>11</v>
      </c>
      <c r="H5" s="647" t="s">
        <v>12</v>
      </c>
      <c r="I5" s="647" t="s">
        <v>13</v>
      </c>
      <c r="J5" s="636" t="s">
        <v>14</v>
      </c>
      <c r="K5" s="636"/>
      <c r="L5" s="291" t="s">
        <v>15</v>
      </c>
      <c r="M5" s="631" t="s">
        <v>16</v>
      </c>
      <c r="N5" s="632"/>
      <c r="O5" s="294" t="s">
        <v>17</v>
      </c>
      <c r="P5" s="80"/>
      <c r="Q5" s="81"/>
      <c r="R5" s="294" t="s">
        <v>18</v>
      </c>
      <c r="S5" s="82"/>
      <c r="T5" s="649" t="s">
        <v>19</v>
      </c>
      <c r="U5" s="80"/>
      <c r="V5" s="294" t="s">
        <v>20</v>
      </c>
      <c r="W5" s="295"/>
    </row>
    <row r="6" spans="1:23" s="83" customFormat="1" ht="91.2" x14ac:dyDescent="0.3">
      <c r="A6" s="646"/>
      <c r="B6" s="648"/>
      <c r="C6" s="292" t="s">
        <v>21</v>
      </c>
      <c r="D6" s="293" t="s">
        <v>22</v>
      </c>
      <c r="E6" s="293" t="s">
        <v>23</v>
      </c>
      <c r="F6" s="648"/>
      <c r="G6" s="648"/>
      <c r="H6" s="648"/>
      <c r="I6" s="648"/>
      <c r="J6" s="293" t="s">
        <v>24</v>
      </c>
      <c r="K6" s="293" t="s">
        <v>25</v>
      </c>
      <c r="L6" s="293" t="s">
        <v>26</v>
      </c>
      <c r="M6" s="293" t="s">
        <v>27</v>
      </c>
      <c r="N6" s="293" t="s">
        <v>28</v>
      </c>
      <c r="O6" s="293" t="s">
        <v>29</v>
      </c>
      <c r="P6" s="85" t="s">
        <v>25</v>
      </c>
      <c r="Q6" s="293" t="s">
        <v>13</v>
      </c>
      <c r="R6" s="293" t="s">
        <v>30</v>
      </c>
      <c r="S6" s="292" t="s">
        <v>31</v>
      </c>
      <c r="T6" s="650"/>
      <c r="U6" s="85" t="s">
        <v>32</v>
      </c>
      <c r="V6" s="293" t="s">
        <v>33</v>
      </c>
      <c r="W6" s="86" t="s">
        <v>34</v>
      </c>
    </row>
    <row r="7" spans="1:23" x14ac:dyDescent="0.25">
      <c r="A7" s="87"/>
      <c r="B7" s="394" t="s">
        <v>35</v>
      </c>
      <c r="C7" s="89"/>
      <c r="D7" s="90"/>
      <c r="E7" s="91"/>
      <c r="F7" s="90"/>
      <c r="G7" s="90"/>
      <c r="H7" s="90"/>
      <c r="I7" s="90"/>
      <c r="J7" s="90"/>
      <c r="K7" s="90"/>
      <c r="L7" s="90"/>
      <c r="M7" s="90"/>
      <c r="N7" s="90"/>
      <c r="O7" s="90"/>
      <c r="P7" s="92"/>
      <c r="Q7" s="90"/>
      <c r="R7" s="91"/>
      <c r="S7" s="93"/>
      <c r="T7" s="93"/>
      <c r="U7" s="92"/>
      <c r="V7" s="90"/>
      <c r="W7" s="94"/>
    </row>
    <row r="8" spans="1:23" ht="14.4" x14ac:dyDescent="0.3">
      <c r="A8" s="395" t="s">
        <v>36</v>
      </c>
      <c r="B8" s="396" t="s">
        <v>37</v>
      </c>
      <c r="C8" s="376"/>
      <c r="D8" s="377"/>
      <c r="E8" s="378"/>
      <c r="F8" s="379"/>
      <c r="G8" s="379"/>
      <c r="H8" s="379"/>
      <c r="I8" s="380"/>
      <c r="J8" s="381"/>
      <c r="K8" s="381"/>
      <c r="L8" s="381"/>
      <c r="M8" s="382"/>
      <c r="N8" s="381"/>
      <c r="O8" s="382"/>
      <c r="P8" s="383"/>
      <c r="Q8" s="380"/>
      <c r="R8" s="384"/>
      <c r="S8" s="385"/>
      <c r="T8" s="385"/>
      <c r="U8" s="383"/>
      <c r="V8" s="381"/>
      <c r="W8" s="386"/>
    </row>
    <row r="9" spans="1:23" ht="15" customHeight="1" x14ac:dyDescent="0.25">
      <c r="A9" s="637" t="s">
        <v>38</v>
      </c>
      <c r="B9" s="640" t="s">
        <v>39</v>
      </c>
      <c r="C9" s="607" t="s">
        <v>747</v>
      </c>
      <c r="D9" s="613"/>
      <c r="E9" s="616">
        <f>7457310/L1</f>
        <v>441000</v>
      </c>
      <c r="F9" s="628" t="s">
        <v>40</v>
      </c>
      <c r="G9" s="628" t="s">
        <v>41</v>
      </c>
      <c r="H9" s="628" t="s">
        <v>42</v>
      </c>
      <c r="I9" s="88" t="s">
        <v>43</v>
      </c>
      <c r="J9" s="96">
        <v>40410</v>
      </c>
      <c r="K9" s="99" t="s">
        <v>744</v>
      </c>
      <c r="L9" s="99" t="s">
        <v>744</v>
      </c>
      <c r="M9" s="96">
        <v>40438</v>
      </c>
      <c r="N9" s="96">
        <v>40468</v>
      </c>
      <c r="O9" s="96">
        <v>40483</v>
      </c>
      <c r="P9" s="99" t="s">
        <v>744</v>
      </c>
      <c r="Q9" s="88" t="s">
        <v>43</v>
      </c>
      <c r="R9" s="95"/>
      <c r="S9" s="98">
        <v>40436</v>
      </c>
      <c r="T9" s="98">
        <v>40509</v>
      </c>
      <c r="U9" s="98" t="s">
        <v>744</v>
      </c>
      <c r="V9" s="298">
        <v>40638</v>
      </c>
      <c r="W9" s="299">
        <v>40648</v>
      </c>
    </row>
    <row r="10" spans="1:23" x14ac:dyDescent="0.25">
      <c r="A10" s="638"/>
      <c r="B10" s="641"/>
      <c r="C10" s="608"/>
      <c r="D10" s="614"/>
      <c r="E10" s="617"/>
      <c r="F10" s="629"/>
      <c r="G10" s="629"/>
      <c r="H10" s="629"/>
      <c r="I10" s="90" t="s">
        <v>44</v>
      </c>
      <c r="J10" s="96">
        <v>40431</v>
      </c>
      <c r="K10" s="99"/>
      <c r="L10" s="99"/>
      <c r="M10" s="96">
        <v>40482</v>
      </c>
      <c r="N10" s="96">
        <v>40541</v>
      </c>
      <c r="O10" s="96">
        <v>40560</v>
      </c>
      <c r="P10" s="97"/>
      <c r="Q10" s="90" t="s">
        <v>44</v>
      </c>
      <c r="R10" s="91"/>
      <c r="S10" s="98">
        <v>40801</v>
      </c>
      <c r="T10" s="98">
        <v>40847</v>
      </c>
      <c r="U10" s="98" t="s">
        <v>744</v>
      </c>
      <c r="V10" s="96">
        <f>120+T10</f>
        <v>40967</v>
      </c>
      <c r="W10" s="101">
        <f>30+V10</f>
        <v>40997</v>
      </c>
    </row>
    <row r="11" spans="1:23" ht="12" customHeight="1" x14ac:dyDescent="0.25">
      <c r="A11" s="639"/>
      <c r="B11" s="642"/>
      <c r="C11" s="609"/>
      <c r="D11" s="615"/>
      <c r="E11" s="618"/>
      <c r="F11" s="630"/>
      <c r="G11" s="630"/>
      <c r="H11" s="630"/>
      <c r="I11" s="300"/>
      <c r="J11" s="301"/>
      <c r="K11" s="302"/>
      <c r="L11" s="302"/>
      <c r="M11" s="301"/>
      <c r="N11" s="301"/>
      <c r="O11" s="301"/>
      <c r="P11" s="303"/>
      <c r="Q11" s="300"/>
      <c r="R11" s="304"/>
      <c r="S11" s="305"/>
      <c r="T11" s="306"/>
      <c r="U11" s="307"/>
      <c r="V11" s="308"/>
      <c r="W11" s="309"/>
    </row>
    <row r="12" spans="1:23" s="110" customFormat="1" ht="18.75" customHeight="1" x14ac:dyDescent="0.25">
      <c r="A12" s="637" t="s">
        <v>45</v>
      </c>
      <c r="B12" s="640" t="s">
        <v>46</v>
      </c>
      <c r="C12" s="619" t="s">
        <v>746</v>
      </c>
      <c r="D12" s="613"/>
      <c r="E12" s="622">
        <f>8250000/L1</f>
        <v>487876.99586043763</v>
      </c>
      <c r="F12" s="633" t="s">
        <v>40</v>
      </c>
      <c r="G12" s="633" t="s">
        <v>41</v>
      </c>
      <c r="H12" s="633" t="s">
        <v>42</v>
      </c>
      <c r="I12" s="104" t="s">
        <v>43</v>
      </c>
      <c r="J12" s="105">
        <v>40410</v>
      </c>
      <c r="K12" s="296" t="s">
        <v>744</v>
      </c>
      <c r="L12" s="296" t="s">
        <v>744</v>
      </c>
      <c r="M12" s="105">
        <v>40438</v>
      </c>
      <c r="N12" s="105">
        <v>40468</v>
      </c>
      <c r="O12" s="105">
        <v>40483</v>
      </c>
      <c r="P12" s="99" t="s">
        <v>744</v>
      </c>
      <c r="Q12" s="104" t="s">
        <v>43</v>
      </c>
      <c r="R12" s="107"/>
      <c r="S12" s="108">
        <v>40499</v>
      </c>
      <c r="T12" s="98">
        <v>40509</v>
      </c>
      <c r="U12" s="98" t="s">
        <v>744</v>
      </c>
      <c r="V12" s="105">
        <v>40638</v>
      </c>
      <c r="W12" s="109">
        <v>40648</v>
      </c>
    </row>
    <row r="13" spans="1:23" s="110" customFormat="1" ht="18.75" customHeight="1" x14ac:dyDescent="0.25">
      <c r="A13" s="638"/>
      <c r="B13" s="641"/>
      <c r="C13" s="620"/>
      <c r="D13" s="614"/>
      <c r="E13" s="623"/>
      <c r="F13" s="634"/>
      <c r="G13" s="634"/>
      <c r="H13" s="634"/>
      <c r="I13" s="111" t="s">
        <v>44</v>
      </c>
      <c r="J13" s="105">
        <v>40431</v>
      </c>
      <c r="K13" s="105"/>
      <c r="L13" s="105"/>
      <c r="M13" s="105">
        <v>40482</v>
      </c>
      <c r="N13" s="105">
        <v>40541</v>
      </c>
      <c r="O13" s="105">
        <v>40560</v>
      </c>
      <c r="P13" s="106"/>
      <c r="Q13" s="111" t="s">
        <v>44</v>
      </c>
      <c r="R13" s="112">
        <f>5536215/S2</f>
        <v>319092.04087631626</v>
      </c>
      <c r="S13" s="108">
        <v>40570</v>
      </c>
      <c r="T13" s="98">
        <v>40579</v>
      </c>
      <c r="U13" s="98" t="s">
        <v>744</v>
      </c>
      <c r="V13" s="105">
        <v>40765</v>
      </c>
      <c r="W13" s="109">
        <v>40801</v>
      </c>
    </row>
    <row r="14" spans="1:23" ht="11.25" customHeight="1" x14ac:dyDescent="0.25">
      <c r="A14" s="639"/>
      <c r="B14" s="642"/>
      <c r="C14" s="621"/>
      <c r="D14" s="615"/>
      <c r="E14" s="624"/>
      <c r="F14" s="635"/>
      <c r="G14" s="635"/>
      <c r="H14" s="635"/>
      <c r="I14" s="300"/>
      <c r="J14" s="301"/>
      <c r="K14" s="302"/>
      <c r="L14" s="302"/>
      <c r="M14" s="301"/>
      <c r="N14" s="301"/>
      <c r="O14" s="301"/>
      <c r="P14" s="303"/>
      <c r="Q14" s="300"/>
      <c r="R14" s="304"/>
      <c r="S14" s="305"/>
      <c r="T14" s="306"/>
      <c r="U14" s="307"/>
      <c r="V14" s="308"/>
      <c r="W14" s="309"/>
    </row>
    <row r="15" spans="1:23" ht="15" customHeight="1" x14ac:dyDescent="0.25">
      <c r="A15" s="637">
        <v>3</v>
      </c>
      <c r="B15" s="640" t="s">
        <v>47</v>
      </c>
      <c r="C15" s="607" t="s">
        <v>745</v>
      </c>
      <c r="D15" s="613"/>
      <c r="E15" s="616">
        <f>34*220000/S2</f>
        <v>431126.40418676758</v>
      </c>
      <c r="F15" s="628" t="s">
        <v>40</v>
      </c>
      <c r="G15" s="628" t="s">
        <v>41</v>
      </c>
      <c r="H15" s="628" t="s">
        <v>42</v>
      </c>
      <c r="I15" s="88" t="s">
        <v>43</v>
      </c>
      <c r="J15" s="96">
        <v>40634</v>
      </c>
      <c r="K15" s="296" t="s">
        <v>744</v>
      </c>
      <c r="L15" s="296" t="s">
        <v>744</v>
      </c>
      <c r="M15" s="96">
        <v>40649</v>
      </c>
      <c r="N15" s="96">
        <v>40684</v>
      </c>
      <c r="O15" s="96">
        <v>40694</v>
      </c>
      <c r="P15" s="99" t="s">
        <v>744</v>
      </c>
      <c r="Q15" s="88" t="s">
        <v>43</v>
      </c>
      <c r="R15" s="95"/>
      <c r="S15" s="100">
        <v>40499</v>
      </c>
      <c r="T15" s="98">
        <v>40509</v>
      </c>
      <c r="U15" s="98" t="s">
        <v>744</v>
      </c>
      <c r="V15" s="96">
        <v>40638</v>
      </c>
      <c r="W15" s="101">
        <v>40648</v>
      </c>
    </row>
    <row r="16" spans="1:23" x14ac:dyDescent="0.25">
      <c r="A16" s="638"/>
      <c r="B16" s="641"/>
      <c r="C16" s="608"/>
      <c r="D16" s="614"/>
      <c r="E16" s="617"/>
      <c r="F16" s="629"/>
      <c r="G16" s="629"/>
      <c r="H16" s="629"/>
      <c r="I16" s="113" t="s">
        <v>48</v>
      </c>
      <c r="J16" s="96"/>
      <c r="K16" s="96"/>
      <c r="L16" s="96"/>
      <c r="M16" s="96"/>
      <c r="N16" s="96"/>
      <c r="O16" s="96"/>
      <c r="P16" s="97"/>
      <c r="Q16" s="114" t="s">
        <v>49</v>
      </c>
      <c r="R16" s="95"/>
      <c r="S16" s="100"/>
      <c r="T16" s="98">
        <v>40954</v>
      </c>
      <c r="U16" s="98" t="s">
        <v>744</v>
      </c>
      <c r="V16" s="96">
        <f>90+T16</f>
        <v>41044</v>
      </c>
      <c r="W16" s="101">
        <f>30+V16</f>
        <v>41074</v>
      </c>
    </row>
    <row r="17" spans="1:23" x14ac:dyDescent="0.25">
      <c r="A17" s="638"/>
      <c r="B17" s="641"/>
      <c r="C17" s="608"/>
      <c r="D17" s="614"/>
      <c r="E17" s="617"/>
      <c r="F17" s="629"/>
      <c r="G17" s="629"/>
      <c r="H17" s="629"/>
      <c r="I17" s="113" t="s">
        <v>50</v>
      </c>
      <c r="J17" s="96"/>
      <c r="K17" s="96"/>
      <c r="L17" s="96"/>
      <c r="M17" s="96"/>
      <c r="N17" s="96"/>
      <c r="O17" s="96"/>
      <c r="P17" s="97"/>
      <c r="Q17" s="114"/>
      <c r="R17" s="95"/>
      <c r="S17" s="100"/>
      <c r="T17" s="98"/>
      <c r="U17" s="98" t="s">
        <v>744</v>
      </c>
      <c r="V17" s="96">
        <v>41193</v>
      </c>
      <c r="W17" s="101">
        <v>41213</v>
      </c>
    </row>
    <row r="18" spans="1:23" x14ac:dyDescent="0.25">
      <c r="A18" s="638"/>
      <c r="B18" s="641"/>
      <c r="C18" s="608"/>
      <c r="D18" s="614"/>
      <c r="E18" s="617"/>
      <c r="F18" s="629"/>
      <c r="G18" s="629"/>
      <c r="H18" s="629"/>
      <c r="I18" s="90" t="s">
        <v>44</v>
      </c>
      <c r="J18" s="96">
        <v>40828</v>
      </c>
      <c r="K18" s="296" t="s">
        <v>744</v>
      </c>
      <c r="L18" s="296" t="s">
        <v>744</v>
      </c>
      <c r="M18" s="96">
        <v>40831</v>
      </c>
      <c r="N18" s="96">
        <v>40869</v>
      </c>
      <c r="O18" s="96">
        <v>40904</v>
      </c>
      <c r="P18" s="97"/>
      <c r="Q18" s="90" t="s">
        <v>44</v>
      </c>
      <c r="R18" s="91">
        <f>8283450/S2</f>
        <v>477435.02844396792</v>
      </c>
      <c r="S18" s="96">
        <v>40932</v>
      </c>
      <c r="T18" s="98">
        <v>41059</v>
      </c>
      <c r="U18" s="100"/>
      <c r="V18" s="96">
        <f>T18+120</f>
        <v>41179</v>
      </c>
      <c r="W18" s="101">
        <f>V18+10</f>
        <v>41189</v>
      </c>
    </row>
    <row r="19" spans="1:23" ht="9" customHeight="1" x14ac:dyDescent="0.25">
      <c r="A19" s="639"/>
      <c r="B19" s="642"/>
      <c r="C19" s="609"/>
      <c r="D19" s="615"/>
      <c r="E19" s="618"/>
      <c r="F19" s="630"/>
      <c r="G19" s="630"/>
      <c r="H19" s="630"/>
      <c r="I19" s="300"/>
      <c r="J19" s="301"/>
      <c r="K19" s="302"/>
      <c r="L19" s="302"/>
      <c r="M19" s="301"/>
      <c r="N19" s="301"/>
      <c r="O19" s="301"/>
      <c r="P19" s="303"/>
      <c r="Q19" s="300"/>
      <c r="R19" s="304"/>
      <c r="S19" s="305"/>
      <c r="T19" s="306"/>
      <c r="U19" s="307"/>
      <c r="V19" s="308"/>
      <c r="W19" s="309"/>
    </row>
    <row r="20" spans="1:23" s="115" customFormat="1" x14ac:dyDescent="0.25">
      <c r="A20" s="652">
        <v>4</v>
      </c>
      <c r="B20" s="653" t="s">
        <v>51</v>
      </c>
      <c r="C20" s="654" t="s">
        <v>52</v>
      </c>
      <c r="D20" s="653"/>
      <c r="E20" s="655">
        <f>40*150000/S2</f>
        <v>345823.31886639114</v>
      </c>
      <c r="F20" s="651" t="s">
        <v>40</v>
      </c>
      <c r="G20" s="651" t="s">
        <v>41</v>
      </c>
      <c r="H20" s="651" t="s">
        <v>42</v>
      </c>
      <c r="I20" s="104" t="s">
        <v>43</v>
      </c>
      <c r="J20" s="105">
        <v>40634</v>
      </c>
      <c r="K20" s="296" t="s">
        <v>744</v>
      </c>
      <c r="L20" s="296" t="s">
        <v>744</v>
      </c>
      <c r="M20" s="105">
        <v>40649</v>
      </c>
      <c r="N20" s="105">
        <v>40684</v>
      </c>
      <c r="O20" s="105">
        <v>40694</v>
      </c>
      <c r="P20" s="99" t="s">
        <v>744</v>
      </c>
      <c r="Q20" s="104" t="s">
        <v>43</v>
      </c>
      <c r="R20" s="107"/>
      <c r="S20" s="96">
        <v>40499</v>
      </c>
      <c r="T20" s="98">
        <v>40509</v>
      </c>
      <c r="U20" s="98" t="s">
        <v>744</v>
      </c>
      <c r="V20" s="105">
        <v>40638</v>
      </c>
      <c r="W20" s="109">
        <v>40648</v>
      </c>
    </row>
    <row r="21" spans="1:23" s="110" customFormat="1" x14ac:dyDescent="0.25">
      <c r="A21" s="652"/>
      <c r="B21" s="653"/>
      <c r="C21" s="654"/>
      <c r="D21" s="653"/>
      <c r="E21" s="655"/>
      <c r="F21" s="651"/>
      <c r="G21" s="651"/>
      <c r="H21" s="651"/>
      <c r="I21" s="116" t="s">
        <v>50</v>
      </c>
      <c r="J21" s="103"/>
      <c r="K21" s="103"/>
      <c r="L21" s="103"/>
      <c r="M21" s="103"/>
      <c r="N21" s="103"/>
      <c r="O21" s="103"/>
      <c r="P21" s="102"/>
      <c r="Q21" s="117"/>
      <c r="R21" s="118"/>
      <c r="S21" s="96"/>
      <c r="T21" s="98"/>
      <c r="U21" s="102"/>
      <c r="V21" s="96">
        <v>41109</v>
      </c>
      <c r="W21" s="109">
        <f>V21+10</f>
        <v>41119</v>
      </c>
    </row>
    <row r="22" spans="1:23" s="110" customFormat="1" x14ac:dyDescent="0.25">
      <c r="A22" s="652"/>
      <c r="B22" s="653"/>
      <c r="C22" s="654"/>
      <c r="D22" s="653"/>
      <c r="E22" s="655"/>
      <c r="F22" s="651"/>
      <c r="G22" s="651"/>
      <c r="H22" s="651"/>
      <c r="I22" s="90" t="s">
        <v>44</v>
      </c>
      <c r="J22" s="96">
        <v>40828</v>
      </c>
      <c r="K22" s="96"/>
      <c r="L22" s="96"/>
      <c r="M22" s="96">
        <v>40831</v>
      </c>
      <c r="N22" s="96">
        <f>M22+38</f>
        <v>40869</v>
      </c>
      <c r="O22" s="96">
        <v>40904</v>
      </c>
      <c r="P22" s="97"/>
      <c r="Q22" s="90" t="s">
        <v>44</v>
      </c>
      <c r="R22" s="91">
        <f>5417190/S2</f>
        <v>312231.77078830422</v>
      </c>
      <c r="S22" s="96">
        <v>40932</v>
      </c>
      <c r="T22" s="98">
        <v>40959</v>
      </c>
      <c r="U22" s="97"/>
      <c r="V22" s="96"/>
      <c r="W22" s="101"/>
    </row>
    <row r="23" spans="1:23" ht="10.5" customHeight="1" x14ac:dyDescent="0.25">
      <c r="A23" s="652"/>
      <c r="B23" s="653"/>
      <c r="C23" s="654"/>
      <c r="D23" s="653"/>
      <c r="E23" s="655"/>
      <c r="F23" s="651"/>
      <c r="G23" s="651"/>
      <c r="H23" s="651"/>
      <c r="I23" s="300"/>
      <c r="J23" s="301"/>
      <c r="K23" s="302"/>
      <c r="L23" s="302"/>
      <c r="M23" s="301"/>
      <c r="N23" s="301"/>
      <c r="O23" s="301"/>
      <c r="P23" s="303"/>
      <c r="Q23" s="300"/>
      <c r="R23" s="304"/>
      <c r="S23" s="305"/>
      <c r="T23" s="306"/>
      <c r="U23" s="307"/>
      <c r="V23" s="308"/>
      <c r="W23" s="309"/>
    </row>
    <row r="24" spans="1:23" x14ac:dyDescent="0.25">
      <c r="A24" s="637">
        <v>5</v>
      </c>
      <c r="B24" s="640" t="s">
        <v>53</v>
      </c>
      <c r="C24" s="607" t="s">
        <v>748</v>
      </c>
      <c r="D24" s="613"/>
      <c r="E24" s="625">
        <f>185512/13.54</f>
        <v>13701.033973412113</v>
      </c>
      <c r="F24" s="628" t="s">
        <v>54</v>
      </c>
      <c r="G24" s="628" t="s">
        <v>41</v>
      </c>
      <c r="H24" s="628" t="s">
        <v>42</v>
      </c>
      <c r="I24" s="88" t="s">
        <v>43</v>
      </c>
      <c r="J24" s="96">
        <v>40452</v>
      </c>
      <c r="K24" s="296" t="s">
        <v>744</v>
      </c>
      <c r="L24" s="296" t="s">
        <v>744</v>
      </c>
      <c r="M24" s="96">
        <v>40467</v>
      </c>
      <c r="N24" s="96">
        <v>40477</v>
      </c>
      <c r="O24" s="96">
        <v>40483</v>
      </c>
      <c r="P24" s="99" t="s">
        <v>744</v>
      </c>
      <c r="Q24" s="88" t="s">
        <v>43</v>
      </c>
      <c r="R24" s="95"/>
      <c r="S24" s="96">
        <v>40497</v>
      </c>
      <c r="T24" s="98">
        <v>40499</v>
      </c>
      <c r="U24" s="98" t="s">
        <v>744</v>
      </c>
      <c r="V24" s="96">
        <v>40871</v>
      </c>
      <c r="W24" s="101">
        <v>40872</v>
      </c>
    </row>
    <row r="25" spans="1:23" ht="14.25" customHeight="1" x14ac:dyDescent="0.25">
      <c r="A25" s="638"/>
      <c r="B25" s="641"/>
      <c r="C25" s="608"/>
      <c r="D25" s="614"/>
      <c r="E25" s="626"/>
      <c r="F25" s="629"/>
      <c r="G25" s="629"/>
      <c r="H25" s="629"/>
      <c r="I25" s="90" t="s">
        <v>44</v>
      </c>
      <c r="J25" s="96">
        <v>40796</v>
      </c>
      <c r="K25" s="96"/>
      <c r="L25" s="96"/>
      <c r="M25" s="96">
        <v>40805</v>
      </c>
      <c r="N25" s="96">
        <v>40816</v>
      </c>
      <c r="O25" s="96">
        <v>40824</v>
      </c>
      <c r="P25" s="97"/>
      <c r="Q25" s="90" t="s">
        <v>44</v>
      </c>
      <c r="R25" s="95">
        <f>E24</f>
        <v>13701.033973412113</v>
      </c>
      <c r="S25" s="96">
        <v>40831</v>
      </c>
      <c r="T25" s="98">
        <v>40865</v>
      </c>
      <c r="U25" s="97"/>
      <c r="V25" s="96">
        <v>40542</v>
      </c>
      <c r="W25" s="101">
        <v>40553</v>
      </c>
    </row>
    <row r="26" spans="1:23" ht="11.25" customHeight="1" x14ac:dyDescent="0.25">
      <c r="A26" s="639"/>
      <c r="B26" s="642"/>
      <c r="C26" s="609"/>
      <c r="D26" s="615"/>
      <c r="E26" s="627"/>
      <c r="F26" s="630"/>
      <c r="G26" s="630"/>
      <c r="H26" s="630"/>
      <c r="I26" s="300"/>
      <c r="J26" s="301"/>
      <c r="K26" s="302"/>
      <c r="L26" s="302"/>
      <c r="M26" s="301"/>
      <c r="N26" s="301"/>
      <c r="O26" s="301"/>
      <c r="P26" s="303"/>
      <c r="Q26" s="300"/>
      <c r="R26" s="304"/>
      <c r="S26" s="305"/>
      <c r="T26" s="306"/>
      <c r="U26" s="307"/>
      <c r="V26" s="308"/>
      <c r="W26" s="309"/>
    </row>
    <row r="27" spans="1:23" ht="18.75" customHeight="1" x14ac:dyDescent="0.25">
      <c r="A27" s="637">
        <v>6</v>
      </c>
      <c r="B27" s="640" t="s">
        <v>55</v>
      </c>
      <c r="C27" s="607" t="s">
        <v>749</v>
      </c>
      <c r="D27" s="613"/>
      <c r="E27" s="625">
        <f>476470/16.91</f>
        <v>28176.818450620933</v>
      </c>
      <c r="F27" s="628" t="s">
        <v>54</v>
      </c>
      <c r="G27" s="628" t="s">
        <v>41</v>
      </c>
      <c r="H27" s="628" t="s">
        <v>42</v>
      </c>
      <c r="I27" s="88" t="s">
        <v>43</v>
      </c>
      <c r="J27" s="96">
        <v>40452</v>
      </c>
      <c r="K27" s="296" t="s">
        <v>744</v>
      </c>
      <c r="L27" s="296" t="s">
        <v>744</v>
      </c>
      <c r="M27" s="96">
        <v>40467</v>
      </c>
      <c r="N27" s="96">
        <v>40477</v>
      </c>
      <c r="O27" s="96">
        <v>40483</v>
      </c>
      <c r="P27" s="99" t="s">
        <v>744</v>
      </c>
      <c r="Q27" s="88" t="s">
        <v>43</v>
      </c>
      <c r="R27" s="95"/>
      <c r="S27" s="96">
        <v>40497</v>
      </c>
      <c r="T27" s="98">
        <v>40499</v>
      </c>
      <c r="U27" s="98" t="s">
        <v>744</v>
      </c>
      <c r="V27" s="96">
        <v>40506</v>
      </c>
      <c r="W27" s="101">
        <v>40507</v>
      </c>
    </row>
    <row r="28" spans="1:23" ht="18.75" customHeight="1" x14ac:dyDescent="0.25">
      <c r="A28" s="638"/>
      <c r="B28" s="641"/>
      <c r="C28" s="608"/>
      <c r="D28" s="614"/>
      <c r="E28" s="626"/>
      <c r="F28" s="629"/>
      <c r="G28" s="629"/>
      <c r="H28" s="629"/>
      <c r="I28" s="90" t="s">
        <v>44</v>
      </c>
      <c r="J28" s="96">
        <v>40468</v>
      </c>
      <c r="K28" s="96"/>
      <c r="L28" s="96"/>
      <c r="M28" s="96">
        <v>40470</v>
      </c>
      <c r="N28" s="96">
        <v>40870</v>
      </c>
      <c r="O28" s="96">
        <v>40897</v>
      </c>
      <c r="P28" s="97"/>
      <c r="Q28" s="90" t="s">
        <v>44</v>
      </c>
      <c r="R28" s="91"/>
      <c r="S28" s="96">
        <v>40899</v>
      </c>
      <c r="T28" s="98">
        <v>40902</v>
      </c>
      <c r="U28" s="97"/>
      <c r="V28" s="96">
        <v>40542</v>
      </c>
      <c r="W28" s="101"/>
    </row>
    <row r="29" spans="1:23" ht="9" customHeight="1" x14ac:dyDescent="0.25">
      <c r="A29" s="639"/>
      <c r="B29" s="642"/>
      <c r="C29" s="609"/>
      <c r="D29" s="615"/>
      <c r="E29" s="627"/>
      <c r="F29" s="630"/>
      <c r="G29" s="630"/>
      <c r="H29" s="630"/>
      <c r="I29" s="300"/>
      <c r="J29" s="301"/>
      <c r="K29" s="302"/>
      <c r="L29" s="302"/>
      <c r="M29" s="301"/>
      <c r="N29" s="301"/>
      <c r="O29" s="301"/>
      <c r="P29" s="303"/>
      <c r="Q29" s="300"/>
      <c r="R29" s="304"/>
      <c r="S29" s="305"/>
      <c r="T29" s="306"/>
      <c r="U29" s="307"/>
      <c r="V29" s="308"/>
      <c r="W29" s="309"/>
    </row>
    <row r="30" spans="1:23" x14ac:dyDescent="0.25">
      <c r="A30" s="637">
        <v>7</v>
      </c>
      <c r="B30" s="640" t="s">
        <v>56</v>
      </c>
      <c r="C30" s="607" t="s">
        <v>750</v>
      </c>
      <c r="D30" s="613"/>
      <c r="E30" s="625">
        <v>4554</v>
      </c>
      <c r="F30" s="628" t="s">
        <v>54</v>
      </c>
      <c r="G30" s="628" t="s">
        <v>41</v>
      </c>
      <c r="H30" s="628" t="s">
        <v>42</v>
      </c>
      <c r="I30" s="88" t="s">
        <v>43</v>
      </c>
      <c r="J30" s="96">
        <v>40603</v>
      </c>
      <c r="K30" s="296" t="s">
        <v>744</v>
      </c>
      <c r="L30" s="296" t="s">
        <v>744</v>
      </c>
      <c r="M30" s="96">
        <v>40617</v>
      </c>
      <c r="N30" s="96">
        <v>40648</v>
      </c>
      <c r="O30" s="96">
        <v>40658</v>
      </c>
      <c r="P30" s="99" t="s">
        <v>744</v>
      </c>
      <c r="Q30" s="90" t="s">
        <v>43</v>
      </c>
      <c r="R30" s="91"/>
      <c r="S30" s="96">
        <v>40660</v>
      </c>
      <c r="T30" s="98">
        <v>40670</v>
      </c>
      <c r="U30" s="98" t="s">
        <v>744</v>
      </c>
      <c r="V30" s="96">
        <v>40761</v>
      </c>
      <c r="W30" s="101">
        <v>40765</v>
      </c>
    </row>
    <row r="31" spans="1:23" ht="15" customHeight="1" x14ac:dyDescent="0.25">
      <c r="A31" s="638"/>
      <c r="B31" s="641"/>
      <c r="C31" s="608"/>
      <c r="D31" s="614"/>
      <c r="E31" s="626"/>
      <c r="F31" s="629"/>
      <c r="G31" s="629"/>
      <c r="H31" s="629"/>
      <c r="I31" s="90" t="s">
        <v>44</v>
      </c>
      <c r="J31" s="96">
        <v>40653</v>
      </c>
      <c r="K31" s="96"/>
      <c r="L31" s="96"/>
      <c r="M31" s="96">
        <v>40667</v>
      </c>
      <c r="N31" s="96">
        <v>40699</v>
      </c>
      <c r="O31" s="96">
        <v>40709</v>
      </c>
      <c r="P31" s="97"/>
      <c r="Q31" s="90" t="s">
        <v>44</v>
      </c>
      <c r="R31" s="91">
        <f>E30</f>
        <v>4554</v>
      </c>
      <c r="S31" s="96">
        <v>40714</v>
      </c>
      <c r="T31" s="98">
        <v>40724</v>
      </c>
      <c r="U31" s="97"/>
      <c r="V31" s="96">
        <v>40750</v>
      </c>
      <c r="W31" s="101">
        <v>40752</v>
      </c>
    </row>
    <row r="32" spans="1:23" ht="8.25" customHeight="1" x14ac:dyDescent="0.25">
      <c r="A32" s="639"/>
      <c r="B32" s="642"/>
      <c r="C32" s="609"/>
      <c r="D32" s="615"/>
      <c r="E32" s="627"/>
      <c r="F32" s="630"/>
      <c r="G32" s="630"/>
      <c r="H32" s="630"/>
      <c r="I32" s="300"/>
      <c r="J32" s="301"/>
      <c r="K32" s="302"/>
      <c r="L32" s="302"/>
      <c r="M32" s="301"/>
      <c r="N32" s="301"/>
      <c r="O32" s="301"/>
      <c r="P32" s="303"/>
      <c r="Q32" s="300"/>
      <c r="R32" s="304"/>
      <c r="S32" s="305"/>
      <c r="T32" s="306"/>
      <c r="U32" s="307"/>
      <c r="V32" s="308"/>
      <c r="W32" s="309"/>
    </row>
    <row r="33" spans="1:26" ht="14.4" x14ac:dyDescent="0.3">
      <c r="A33" s="395" t="s">
        <v>756</v>
      </c>
      <c r="B33" s="396" t="s">
        <v>757</v>
      </c>
      <c r="C33" s="376"/>
      <c r="D33" s="377"/>
      <c r="E33" s="378"/>
      <c r="F33" s="379"/>
      <c r="G33" s="379"/>
      <c r="H33" s="379"/>
      <c r="I33" s="380"/>
      <c r="J33" s="381"/>
      <c r="K33" s="381"/>
      <c r="L33" s="381"/>
      <c r="M33" s="382"/>
      <c r="N33" s="381"/>
      <c r="O33" s="382"/>
      <c r="P33" s="383"/>
      <c r="Q33" s="380"/>
      <c r="R33" s="384"/>
      <c r="S33" s="385"/>
      <c r="T33" s="385"/>
      <c r="U33" s="383"/>
      <c r="V33" s="381"/>
      <c r="W33" s="386"/>
    </row>
    <row r="34" spans="1:26" x14ac:dyDescent="0.25">
      <c r="A34" s="637" t="s">
        <v>38</v>
      </c>
      <c r="B34" s="640" t="s">
        <v>57</v>
      </c>
      <c r="C34" s="607" t="s">
        <v>751</v>
      </c>
      <c r="D34" s="610"/>
      <c r="E34" s="625">
        <f>1041600/L1</f>
        <v>61596.688350088705</v>
      </c>
      <c r="F34" s="628" t="s">
        <v>58</v>
      </c>
      <c r="G34" s="628" t="s">
        <v>41</v>
      </c>
      <c r="H34" s="628" t="s">
        <v>42</v>
      </c>
      <c r="I34" s="290" t="s">
        <v>43</v>
      </c>
      <c r="J34" s="96">
        <v>40452</v>
      </c>
      <c r="K34" s="296" t="s">
        <v>744</v>
      </c>
      <c r="L34" s="296" t="s">
        <v>744</v>
      </c>
      <c r="M34" s="96">
        <v>40467</v>
      </c>
      <c r="N34" s="96">
        <v>40477</v>
      </c>
      <c r="O34" s="96">
        <v>40483</v>
      </c>
      <c r="P34" s="99" t="s">
        <v>744</v>
      </c>
      <c r="Q34" s="119" t="s">
        <v>43</v>
      </c>
      <c r="R34" s="120"/>
      <c r="S34" s="96">
        <v>40497</v>
      </c>
      <c r="T34" s="98">
        <v>40499</v>
      </c>
      <c r="U34" s="98" t="s">
        <v>744</v>
      </c>
      <c r="V34" s="96">
        <v>40506</v>
      </c>
      <c r="W34" s="101">
        <v>40507</v>
      </c>
    </row>
    <row r="35" spans="1:26" ht="15" customHeight="1" x14ac:dyDescent="0.25">
      <c r="A35" s="638"/>
      <c r="B35" s="641"/>
      <c r="C35" s="608"/>
      <c r="D35" s="611"/>
      <c r="E35" s="626"/>
      <c r="F35" s="629"/>
      <c r="G35" s="629"/>
      <c r="H35" s="629"/>
      <c r="I35" s="121" t="s">
        <v>44</v>
      </c>
      <c r="J35" s="554">
        <v>40452</v>
      </c>
      <c r="K35" s="96"/>
      <c r="L35" s="96"/>
      <c r="M35" s="96">
        <v>40470</v>
      </c>
      <c r="N35" s="96">
        <v>40531</v>
      </c>
      <c r="O35" s="96">
        <v>40563</v>
      </c>
      <c r="P35" s="97"/>
      <c r="Q35" s="90" t="s">
        <v>44</v>
      </c>
      <c r="R35" s="120">
        <f>1033968.73/L1</f>
        <v>61145.400946185684</v>
      </c>
      <c r="S35" s="96">
        <f>T35-(T34-S34)</f>
        <v>40656</v>
      </c>
      <c r="T35" s="98">
        <v>40658</v>
      </c>
      <c r="U35" s="97"/>
      <c r="V35" s="96">
        <v>40770</v>
      </c>
      <c r="W35" s="101">
        <v>40802</v>
      </c>
    </row>
    <row r="36" spans="1:26" ht="9" customHeight="1" x14ac:dyDescent="0.25">
      <c r="A36" s="639"/>
      <c r="B36" s="642"/>
      <c r="C36" s="609"/>
      <c r="D36" s="612"/>
      <c r="E36" s="627"/>
      <c r="F36" s="630"/>
      <c r="G36" s="630"/>
      <c r="H36" s="630"/>
      <c r="I36" s="300"/>
      <c r="J36" s="301"/>
      <c r="K36" s="302"/>
      <c r="L36" s="302"/>
      <c r="M36" s="301"/>
      <c r="N36" s="301"/>
      <c r="O36" s="301"/>
      <c r="P36" s="303"/>
      <c r="Q36" s="300"/>
      <c r="R36" s="304"/>
      <c r="S36" s="305"/>
      <c r="T36" s="306"/>
      <c r="U36" s="307"/>
      <c r="V36" s="308"/>
      <c r="W36" s="309"/>
    </row>
    <row r="37" spans="1:26" x14ac:dyDescent="0.25">
      <c r="A37" s="637" t="s">
        <v>45</v>
      </c>
      <c r="B37" s="640" t="s">
        <v>59</v>
      </c>
      <c r="C37" s="607" t="s">
        <v>752</v>
      </c>
      <c r="D37" s="613"/>
      <c r="E37" s="625">
        <v>340731.17</v>
      </c>
      <c r="F37" s="628" t="s">
        <v>58</v>
      </c>
      <c r="G37" s="628" t="s">
        <v>41</v>
      </c>
      <c r="H37" s="628" t="s">
        <v>42</v>
      </c>
      <c r="I37" s="90" t="s">
        <v>43</v>
      </c>
      <c r="J37" s="96">
        <v>40603</v>
      </c>
      <c r="K37" s="296" t="s">
        <v>744</v>
      </c>
      <c r="L37" s="296" t="s">
        <v>744</v>
      </c>
      <c r="M37" s="96">
        <v>40617</v>
      </c>
      <c r="N37" s="96">
        <v>40648</v>
      </c>
      <c r="O37" s="96">
        <v>40658</v>
      </c>
      <c r="P37" s="99" t="s">
        <v>744</v>
      </c>
      <c r="Q37" s="90" t="s">
        <v>43</v>
      </c>
      <c r="R37" s="91"/>
      <c r="S37" s="96">
        <v>40660</v>
      </c>
      <c r="T37" s="98">
        <v>40670</v>
      </c>
      <c r="U37" s="98" t="s">
        <v>744</v>
      </c>
      <c r="V37" s="96">
        <v>40761</v>
      </c>
      <c r="W37" s="101">
        <v>40765</v>
      </c>
    </row>
    <row r="38" spans="1:26" x14ac:dyDescent="0.25">
      <c r="A38" s="638"/>
      <c r="B38" s="641"/>
      <c r="C38" s="608"/>
      <c r="D38" s="614"/>
      <c r="E38" s="626"/>
      <c r="F38" s="629"/>
      <c r="G38" s="629"/>
      <c r="H38" s="629"/>
      <c r="I38" s="88" t="s">
        <v>44</v>
      </c>
      <c r="J38" s="96"/>
      <c r="K38" s="96"/>
      <c r="L38" s="96"/>
      <c r="M38" s="96"/>
      <c r="N38" s="96"/>
      <c r="O38" s="96">
        <v>40851</v>
      </c>
      <c r="P38" s="97"/>
      <c r="Q38" s="119" t="s">
        <v>44</v>
      </c>
      <c r="R38" s="95">
        <f>(2962420.12+1030600.01)/S2</f>
        <v>230146.57894281807</v>
      </c>
      <c r="S38" s="96">
        <v>40854</v>
      </c>
      <c r="T38" s="98">
        <v>40861</v>
      </c>
      <c r="U38" s="97"/>
      <c r="V38" s="96">
        <f>T38+120</f>
        <v>40981</v>
      </c>
      <c r="W38" s="101">
        <f>30+V38</f>
        <v>41011</v>
      </c>
    </row>
    <row r="39" spans="1:26" ht="8.25" customHeight="1" x14ac:dyDescent="0.25">
      <c r="A39" s="639"/>
      <c r="B39" s="642"/>
      <c r="C39" s="609"/>
      <c r="D39" s="615"/>
      <c r="E39" s="627"/>
      <c r="F39" s="630"/>
      <c r="G39" s="630"/>
      <c r="H39" s="630"/>
      <c r="I39" s="300"/>
      <c r="J39" s="301"/>
      <c r="K39" s="302"/>
      <c r="L39" s="302"/>
      <c r="M39" s="301"/>
      <c r="N39" s="301"/>
      <c r="O39" s="301"/>
      <c r="P39" s="303"/>
      <c r="Q39" s="300"/>
      <c r="R39" s="304"/>
      <c r="S39" s="305"/>
      <c r="T39" s="306"/>
      <c r="U39" s="307"/>
      <c r="V39" s="308"/>
      <c r="W39" s="309"/>
      <c r="Z39" s="122"/>
    </row>
    <row r="40" spans="1:26" x14ac:dyDescent="0.25">
      <c r="A40" s="637" t="s">
        <v>60</v>
      </c>
      <c r="B40" s="640" t="s">
        <v>61</v>
      </c>
      <c r="C40" s="607" t="s">
        <v>62</v>
      </c>
      <c r="D40" s="613"/>
      <c r="E40" s="625">
        <f>2520000/L1</f>
        <v>149024.24600827912</v>
      </c>
      <c r="F40" s="628" t="s">
        <v>58</v>
      </c>
      <c r="G40" s="628" t="s">
        <v>41</v>
      </c>
      <c r="H40" s="628" t="s">
        <v>42</v>
      </c>
      <c r="I40" s="121" t="s">
        <v>43</v>
      </c>
      <c r="J40" s="96">
        <v>40452</v>
      </c>
      <c r="K40" s="296" t="s">
        <v>744</v>
      </c>
      <c r="L40" s="296" t="s">
        <v>744</v>
      </c>
      <c r="M40" s="96">
        <v>40481</v>
      </c>
      <c r="N40" s="96">
        <v>40512</v>
      </c>
      <c r="O40" s="96">
        <v>40527</v>
      </c>
      <c r="P40" s="99" t="s">
        <v>744</v>
      </c>
      <c r="Q40" s="121" t="s">
        <v>43</v>
      </c>
      <c r="R40" s="120"/>
      <c r="S40" s="96">
        <v>40544</v>
      </c>
      <c r="T40" s="98">
        <v>40544</v>
      </c>
      <c r="U40" s="98" t="s">
        <v>744</v>
      </c>
      <c r="V40" s="96">
        <v>40644</v>
      </c>
      <c r="W40" s="101">
        <v>40653</v>
      </c>
    </row>
    <row r="41" spans="1:26" ht="15" customHeight="1" x14ac:dyDescent="0.25">
      <c r="A41" s="638"/>
      <c r="B41" s="641"/>
      <c r="C41" s="608"/>
      <c r="D41" s="614"/>
      <c r="E41" s="626"/>
      <c r="F41" s="629"/>
      <c r="G41" s="629"/>
      <c r="H41" s="629"/>
      <c r="I41" s="121" t="s">
        <v>44</v>
      </c>
      <c r="J41" s="96">
        <v>40452</v>
      </c>
      <c r="K41" s="96"/>
      <c r="L41" s="96"/>
      <c r="M41" s="96">
        <v>40470</v>
      </c>
      <c r="N41" s="96">
        <v>40531</v>
      </c>
      <c r="O41" s="96">
        <v>40563</v>
      </c>
      <c r="P41" s="97"/>
      <c r="Q41" s="121" t="s">
        <v>44</v>
      </c>
      <c r="R41" s="120">
        <f>1813665/S2</f>
        <v>104534.60826863555</v>
      </c>
      <c r="S41" s="96">
        <f>T41-(T40-S40)</f>
        <v>40658</v>
      </c>
      <c r="T41" s="98">
        <v>40658</v>
      </c>
      <c r="U41" s="97"/>
      <c r="V41" s="96">
        <v>40776</v>
      </c>
      <c r="W41" s="101">
        <v>40811</v>
      </c>
    </row>
    <row r="42" spans="1:26" ht="8.25" customHeight="1" x14ac:dyDescent="0.25">
      <c r="A42" s="639"/>
      <c r="B42" s="642"/>
      <c r="C42" s="609"/>
      <c r="D42" s="615"/>
      <c r="E42" s="627"/>
      <c r="F42" s="630"/>
      <c r="G42" s="630"/>
      <c r="H42" s="630"/>
      <c r="I42" s="300"/>
      <c r="J42" s="301"/>
      <c r="K42" s="302"/>
      <c r="L42" s="302"/>
      <c r="M42" s="301"/>
      <c r="N42" s="301"/>
      <c r="O42" s="301"/>
      <c r="P42" s="303"/>
      <c r="Q42" s="300"/>
      <c r="R42" s="304"/>
      <c r="S42" s="305"/>
      <c r="T42" s="306"/>
      <c r="U42" s="307"/>
      <c r="V42" s="308"/>
      <c r="W42" s="309"/>
    </row>
    <row r="43" spans="1:26" x14ac:dyDescent="0.25">
      <c r="A43" s="637" t="s">
        <v>63</v>
      </c>
      <c r="B43" s="640" t="s">
        <v>64</v>
      </c>
      <c r="C43" s="607" t="s">
        <v>65</v>
      </c>
      <c r="D43" s="613"/>
      <c r="E43" s="625">
        <f>4200000/L1</f>
        <v>248373.74334713188</v>
      </c>
      <c r="F43" s="628" t="s">
        <v>58</v>
      </c>
      <c r="G43" s="628" t="s">
        <v>41</v>
      </c>
      <c r="H43" s="628" t="s">
        <v>42</v>
      </c>
      <c r="I43" s="121" t="s">
        <v>43</v>
      </c>
      <c r="J43" s="96">
        <v>40725</v>
      </c>
      <c r="K43" s="296" t="s">
        <v>744</v>
      </c>
      <c r="L43" s="296" t="s">
        <v>744</v>
      </c>
      <c r="M43" s="96">
        <v>40739</v>
      </c>
      <c r="N43" s="96">
        <v>40770</v>
      </c>
      <c r="O43" s="96">
        <v>40780</v>
      </c>
      <c r="P43" s="99" t="s">
        <v>744</v>
      </c>
      <c r="Q43" s="90" t="s">
        <v>43</v>
      </c>
      <c r="R43" s="91"/>
      <c r="S43" s="96">
        <v>40782</v>
      </c>
      <c r="T43" s="98">
        <f>S45+30</f>
        <v>40962</v>
      </c>
      <c r="U43" s="98" t="s">
        <v>744</v>
      </c>
      <c r="V43" s="96">
        <f>T43+60</f>
        <v>41022</v>
      </c>
      <c r="W43" s="101">
        <f>V43+30</f>
        <v>41052</v>
      </c>
    </row>
    <row r="44" spans="1:26" ht="15" customHeight="1" x14ac:dyDescent="0.25">
      <c r="A44" s="638"/>
      <c r="B44" s="641"/>
      <c r="C44" s="608"/>
      <c r="D44" s="614"/>
      <c r="E44" s="626"/>
      <c r="F44" s="629"/>
      <c r="G44" s="629"/>
      <c r="H44" s="629"/>
      <c r="I44" s="88" t="s">
        <v>50</v>
      </c>
      <c r="J44" s="96"/>
      <c r="K44" s="96"/>
      <c r="L44" s="96"/>
      <c r="M44" s="96"/>
      <c r="N44" s="96"/>
      <c r="O44" s="96"/>
      <c r="P44" s="97"/>
      <c r="Q44" s="114"/>
      <c r="R44" s="95"/>
      <c r="S44" s="96"/>
      <c r="T44" s="98">
        <v>41059</v>
      </c>
      <c r="U44" s="97"/>
      <c r="V44" s="96">
        <v>41193</v>
      </c>
      <c r="W44" s="101">
        <v>41213</v>
      </c>
    </row>
    <row r="45" spans="1:26" x14ac:dyDescent="0.25">
      <c r="A45" s="638"/>
      <c r="B45" s="641"/>
      <c r="C45" s="608"/>
      <c r="D45" s="614"/>
      <c r="E45" s="626"/>
      <c r="F45" s="629"/>
      <c r="G45" s="629"/>
      <c r="H45" s="629"/>
      <c r="I45" s="121" t="s">
        <v>44</v>
      </c>
      <c r="J45" s="96">
        <v>40760</v>
      </c>
      <c r="K45" s="96"/>
      <c r="L45" s="96"/>
      <c r="M45" s="96">
        <v>40829</v>
      </c>
      <c r="N45" s="96">
        <v>40868</v>
      </c>
      <c r="O45" s="96">
        <v>40904</v>
      </c>
      <c r="P45" s="97"/>
      <c r="Q45" s="121" t="s">
        <v>44</v>
      </c>
      <c r="R45" s="123">
        <f>1700160/S2</f>
        <v>97992.495633980594</v>
      </c>
      <c r="S45" s="96">
        <v>40932</v>
      </c>
      <c r="T45" s="98">
        <v>40959</v>
      </c>
      <c r="U45" s="97"/>
      <c r="V45" s="96">
        <f>T45+120</f>
        <v>41079</v>
      </c>
      <c r="W45" s="101">
        <f>V45+10</f>
        <v>41089</v>
      </c>
    </row>
    <row r="46" spans="1:26" ht="8.25" customHeight="1" x14ac:dyDescent="0.25">
      <c r="A46" s="639"/>
      <c r="B46" s="642"/>
      <c r="C46" s="609"/>
      <c r="D46" s="615"/>
      <c r="E46" s="627"/>
      <c r="F46" s="630"/>
      <c r="G46" s="630"/>
      <c r="H46" s="630"/>
      <c r="I46" s="300"/>
      <c r="J46" s="301"/>
      <c r="K46" s="302"/>
      <c r="L46" s="302"/>
      <c r="M46" s="301"/>
      <c r="N46" s="301"/>
      <c r="O46" s="301"/>
      <c r="P46" s="303"/>
      <c r="Q46" s="300"/>
      <c r="R46" s="304"/>
      <c r="S46" s="305"/>
      <c r="T46" s="306"/>
      <c r="U46" s="307"/>
      <c r="V46" s="308"/>
      <c r="W46" s="309"/>
    </row>
  </sheetData>
  <mergeCells count="100">
    <mergeCell ref="B40:B42"/>
    <mergeCell ref="A40:A42"/>
    <mergeCell ref="B43:B46"/>
    <mergeCell ref="A43:A46"/>
    <mergeCell ref="B37:B39"/>
    <mergeCell ref="A37:A39"/>
    <mergeCell ref="H37:H39"/>
    <mergeCell ref="G37:G39"/>
    <mergeCell ref="C34:C36"/>
    <mergeCell ref="C37:C39"/>
    <mergeCell ref="A27:A29"/>
    <mergeCell ref="B27:B29"/>
    <mergeCell ref="A30:A32"/>
    <mergeCell ref="B30:B32"/>
    <mergeCell ref="B34:B36"/>
    <mergeCell ref="A34:A36"/>
    <mergeCell ref="A15:A19"/>
    <mergeCell ref="B15:B19"/>
    <mergeCell ref="G20:G23"/>
    <mergeCell ref="H20:H23"/>
    <mergeCell ref="A20:A23"/>
    <mergeCell ref="B20:B23"/>
    <mergeCell ref="C20:C23"/>
    <mergeCell ref="D20:D23"/>
    <mergeCell ref="E20:E23"/>
    <mergeCell ref="F20:F23"/>
    <mergeCell ref="T5:T6"/>
    <mergeCell ref="B9:B11"/>
    <mergeCell ref="A9:A11"/>
    <mergeCell ref="A12:A14"/>
    <mergeCell ref="B12:B14"/>
    <mergeCell ref="B1:F1"/>
    <mergeCell ref="C2:I2"/>
    <mergeCell ref="C3:H3"/>
    <mergeCell ref="A5:A6"/>
    <mergeCell ref="B5:B6"/>
    <mergeCell ref="F5:F6"/>
    <mergeCell ref="G5:G6"/>
    <mergeCell ref="H5:H6"/>
    <mergeCell ref="I5:I6"/>
    <mergeCell ref="A24:A26"/>
    <mergeCell ref="B24:B26"/>
    <mergeCell ref="E24:E26"/>
    <mergeCell ref="H24:H26"/>
    <mergeCell ref="G24:G26"/>
    <mergeCell ref="F24:F26"/>
    <mergeCell ref="F34:F36"/>
    <mergeCell ref="G34:G36"/>
    <mergeCell ref="H34:H36"/>
    <mergeCell ref="E37:E39"/>
    <mergeCell ref="F37:F39"/>
    <mergeCell ref="F15:F19"/>
    <mergeCell ref="G15:G19"/>
    <mergeCell ref="H15:H19"/>
    <mergeCell ref="J5:K5"/>
    <mergeCell ref="E30:E32"/>
    <mergeCell ref="F30:F32"/>
    <mergeCell ref="G30:G32"/>
    <mergeCell ref="H30:H32"/>
    <mergeCell ref="E27:E29"/>
    <mergeCell ref="F27:F29"/>
    <mergeCell ref="G27:G29"/>
    <mergeCell ref="H27:H29"/>
    <mergeCell ref="M5:N5"/>
    <mergeCell ref="F9:F11"/>
    <mergeCell ref="G9:G11"/>
    <mergeCell ref="H9:H11"/>
    <mergeCell ref="F12:F14"/>
    <mergeCell ref="G12:G14"/>
    <mergeCell ref="H12:H14"/>
    <mergeCell ref="F40:F42"/>
    <mergeCell ref="G40:G42"/>
    <mergeCell ref="H40:H42"/>
    <mergeCell ref="E43:E46"/>
    <mergeCell ref="F43:F46"/>
    <mergeCell ref="G43:G46"/>
    <mergeCell ref="H43:H46"/>
    <mergeCell ref="C30:C32"/>
    <mergeCell ref="D24:D26"/>
    <mergeCell ref="D27:D29"/>
    <mergeCell ref="D30:D32"/>
    <mergeCell ref="E40:E42"/>
    <mergeCell ref="E34:E36"/>
    <mergeCell ref="C15:C19"/>
    <mergeCell ref="D15:D19"/>
    <mergeCell ref="E15:E19"/>
    <mergeCell ref="C24:C26"/>
    <mergeCell ref="C27:C29"/>
    <mergeCell ref="C9:C11"/>
    <mergeCell ref="D9:D11"/>
    <mergeCell ref="E9:E11"/>
    <mergeCell ref="C12:C14"/>
    <mergeCell ref="D12:D14"/>
    <mergeCell ref="E12:E14"/>
    <mergeCell ref="C40:C42"/>
    <mergeCell ref="D34:D36"/>
    <mergeCell ref="D37:D39"/>
    <mergeCell ref="D40:D42"/>
    <mergeCell ref="C43:C46"/>
    <mergeCell ref="D43:D46"/>
  </mergeCells>
  <pageMargins left="1.1499999999999999" right="1" top="1.39" bottom="0.75" header="0.56000000000000005" footer="0.3"/>
  <pageSetup scale="40" orientation="landscape" horizontalDpi="1200" verticalDpi="1200" r:id="rId1"/>
  <ignoredErrors>
    <ignoredError sqref="R35:R36 R11 E9 E12 E15 E20:E46 R13:R14 R16:R19 R21:R23 R25:R26 R28:R29 R31:R32 R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3"/>
  <sheetViews>
    <sheetView tabSelected="1" view="pageBreakPreview" zoomScale="70" zoomScaleNormal="80" zoomScaleSheetLayoutView="70" workbookViewId="0">
      <pane xSplit="1" ySplit="9" topLeftCell="E385" activePane="bottomRight" state="frozen"/>
      <selection pane="topRight" activeCell="B1" sqref="B1"/>
      <selection pane="bottomLeft" activeCell="A10" sqref="A10"/>
      <selection pane="bottomRight" activeCell="G528" sqref="G528"/>
    </sheetView>
  </sheetViews>
  <sheetFormatPr defaultColWidth="12.6640625" defaultRowHeight="13.8" x14ac:dyDescent="0.3"/>
  <cols>
    <col min="1" max="1" width="41.6640625" style="164" customWidth="1"/>
    <col min="2" max="2" width="32.5546875" style="1" bestFit="1" customWidth="1"/>
    <col min="3" max="3" width="6" style="165" bestFit="1" customWidth="1"/>
    <col min="4" max="4" width="6" style="1" bestFit="1" customWidth="1"/>
    <col min="5" max="5" width="6" style="1" customWidth="1"/>
    <col min="6" max="6" width="13.88671875" style="166" customWidth="1"/>
    <col min="7" max="8" width="6" style="1" customWidth="1"/>
    <col min="9" max="9" width="10" style="1" customWidth="1"/>
    <col min="10" max="10" width="13" style="1" customWidth="1"/>
    <col min="11" max="12" width="11.6640625" style="1" customWidth="1"/>
    <col min="13" max="13" width="11" style="127" customWidth="1"/>
    <col min="14" max="14" width="14.33203125" style="1" customWidth="1"/>
    <col min="15" max="15" width="11.44140625" style="1" bestFit="1" customWidth="1"/>
    <col min="16" max="16" width="10.88671875" style="128" customWidth="1"/>
    <col min="17" max="17" width="10" style="1" bestFit="1" customWidth="1"/>
    <col min="18" max="18" width="13.33203125" style="129" bestFit="1" customWidth="1"/>
    <col min="19" max="19" width="11.6640625" style="1" bestFit="1" customWidth="1"/>
    <col min="20" max="20" width="11.109375" style="1" customWidth="1"/>
    <col min="21" max="21" width="9.44140625" style="1" bestFit="1" customWidth="1"/>
    <col min="22" max="22" width="11" style="1" customWidth="1"/>
    <col min="23" max="23" width="11.33203125" style="128" bestFit="1" customWidth="1"/>
    <col min="24" max="24" width="19.109375" style="130" customWidth="1"/>
    <col min="25" max="16384" width="12.6640625" style="1"/>
  </cols>
  <sheetData>
    <row r="1" spans="1:25" x14ac:dyDescent="0.3">
      <c r="A1" s="126"/>
      <c r="B1" s="697" t="s">
        <v>66</v>
      </c>
      <c r="C1" s="697"/>
      <c r="D1" s="697"/>
      <c r="E1" s="697"/>
      <c r="F1" s="697"/>
      <c r="G1" s="697"/>
      <c r="H1" s="697"/>
    </row>
    <row r="2" spans="1:25" x14ac:dyDescent="0.3">
      <c r="A2" s="698" t="s">
        <v>67</v>
      </c>
      <c r="B2" s="698"/>
      <c r="C2" s="698"/>
      <c r="D2" s="698"/>
      <c r="E2" s="698"/>
      <c r="F2" s="698"/>
      <c r="G2" s="131"/>
      <c r="H2" s="131"/>
      <c r="P2" s="132"/>
      <c r="R2" s="133" t="s">
        <v>68</v>
      </c>
      <c r="S2" s="134" t="s">
        <v>69</v>
      </c>
      <c r="T2" s="1" t="s">
        <v>70</v>
      </c>
    </row>
    <row r="3" spans="1:25" x14ac:dyDescent="0.3">
      <c r="A3" s="699" t="s">
        <v>71</v>
      </c>
      <c r="B3" s="699"/>
      <c r="C3" s="699"/>
      <c r="D3" s="699"/>
      <c r="E3" s="699"/>
      <c r="F3" s="699"/>
      <c r="G3" s="699"/>
      <c r="H3" s="699"/>
      <c r="J3" s="700"/>
      <c r="K3" s="700"/>
      <c r="L3" s="135"/>
      <c r="M3" s="135"/>
      <c r="N3" s="136" t="s">
        <v>72</v>
      </c>
      <c r="O3" s="135"/>
      <c r="P3" s="135"/>
      <c r="Q3" s="135"/>
    </row>
    <row r="4" spans="1:25" ht="14.4" thickBot="1" x14ac:dyDescent="0.35">
      <c r="A4" s="126" t="s">
        <v>6</v>
      </c>
      <c r="B4" s="699"/>
      <c r="C4" s="699"/>
      <c r="D4" s="699"/>
      <c r="E4" s="699"/>
      <c r="F4" s="699"/>
      <c r="G4" s="699"/>
      <c r="H4" s="699"/>
      <c r="J4" s="700"/>
      <c r="K4" s="700"/>
      <c r="L4" s="137"/>
      <c r="M4" s="137"/>
      <c r="N4" s="137"/>
      <c r="O4" s="137"/>
      <c r="P4" s="137"/>
      <c r="Q4" s="137"/>
    </row>
    <row r="5" spans="1:25" ht="41.4" x14ac:dyDescent="0.3">
      <c r="A5" s="701" t="s">
        <v>8</v>
      </c>
      <c r="B5" s="703" t="s">
        <v>21</v>
      </c>
      <c r="C5" s="705" t="s">
        <v>73</v>
      </c>
      <c r="D5" s="705"/>
      <c r="E5" s="705"/>
      <c r="F5" s="705"/>
      <c r="G5" s="705"/>
      <c r="H5" s="705"/>
      <c r="I5" s="703" t="s">
        <v>13</v>
      </c>
      <c r="J5" s="706" t="s">
        <v>14</v>
      </c>
      <c r="K5" s="706"/>
      <c r="L5" s="138" t="s">
        <v>15</v>
      </c>
      <c r="M5" s="705" t="s">
        <v>16</v>
      </c>
      <c r="N5" s="705"/>
      <c r="O5" s="705" t="s">
        <v>17</v>
      </c>
      <c r="P5" s="705"/>
      <c r="Q5" s="703" t="s">
        <v>13</v>
      </c>
      <c r="R5" s="705" t="s">
        <v>18</v>
      </c>
      <c r="S5" s="705"/>
      <c r="T5" s="705"/>
      <c r="U5" s="705" t="s">
        <v>20</v>
      </c>
      <c r="V5" s="705"/>
      <c r="W5" s="705"/>
      <c r="X5" s="709"/>
    </row>
    <row r="6" spans="1:25" s="127" customFormat="1" ht="87" x14ac:dyDescent="0.3">
      <c r="A6" s="702"/>
      <c r="B6" s="704"/>
      <c r="C6" s="2" t="s">
        <v>22</v>
      </c>
      <c r="D6" s="2" t="s">
        <v>74</v>
      </c>
      <c r="E6" s="2" t="s">
        <v>10</v>
      </c>
      <c r="F6" s="139" t="s">
        <v>75</v>
      </c>
      <c r="G6" s="2" t="s">
        <v>76</v>
      </c>
      <c r="H6" s="2" t="s">
        <v>12</v>
      </c>
      <c r="I6" s="704"/>
      <c r="J6" s="2" t="s">
        <v>24</v>
      </c>
      <c r="K6" s="2" t="s">
        <v>25</v>
      </c>
      <c r="L6" s="2" t="s">
        <v>77</v>
      </c>
      <c r="M6" s="2" t="s">
        <v>27</v>
      </c>
      <c r="N6" s="2" t="s">
        <v>28</v>
      </c>
      <c r="O6" s="2" t="s">
        <v>29</v>
      </c>
      <c r="P6" s="140" t="s">
        <v>25</v>
      </c>
      <c r="Q6" s="704"/>
      <c r="R6" s="141" t="s">
        <v>30</v>
      </c>
      <c r="S6" s="2" t="s">
        <v>31</v>
      </c>
      <c r="T6" s="2" t="s">
        <v>19</v>
      </c>
      <c r="U6" s="2" t="s">
        <v>78</v>
      </c>
      <c r="V6" s="2" t="s">
        <v>79</v>
      </c>
      <c r="W6" s="140" t="s">
        <v>80</v>
      </c>
      <c r="X6" s="142" t="s">
        <v>81</v>
      </c>
    </row>
    <row r="7" spans="1:25" x14ac:dyDescent="0.3">
      <c r="A7" s="143" t="s">
        <v>35</v>
      </c>
      <c r="B7" s="3"/>
      <c r="C7" s="144"/>
      <c r="D7" s="3"/>
      <c r="E7" s="3"/>
      <c r="F7" s="145"/>
      <c r="G7" s="3"/>
      <c r="H7" s="3"/>
      <c r="I7" s="3"/>
      <c r="J7" s="3"/>
      <c r="K7" s="3"/>
      <c r="L7" s="3"/>
      <c r="M7" s="146"/>
      <c r="N7" s="3"/>
      <c r="O7" s="3"/>
      <c r="P7" s="147"/>
      <c r="Q7" s="3"/>
      <c r="R7" s="148"/>
      <c r="S7" s="3"/>
      <c r="T7" s="3"/>
      <c r="U7" s="3"/>
      <c r="V7" s="3"/>
      <c r="W7" s="147"/>
      <c r="X7" s="149"/>
    </row>
    <row r="8" spans="1:25" ht="15.6" x14ac:dyDescent="0.3">
      <c r="A8" s="694" t="s">
        <v>743</v>
      </c>
      <c r="B8" s="695"/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6"/>
      <c r="Y8" s="17"/>
    </row>
    <row r="9" spans="1:25" ht="15.6" x14ac:dyDescent="0.3">
      <c r="A9" s="707" t="s">
        <v>82</v>
      </c>
      <c r="B9" s="708"/>
      <c r="C9" s="387"/>
      <c r="D9" s="388"/>
      <c r="E9" s="388"/>
      <c r="F9" s="388"/>
      <c r="G9" s="388"/>
      <c r="H9" s="388"/>
      <c r="I9" s="388"/>
      <c r="J9" s="389" t="s">
        <v>83</v>
      </c>
      <c r="K9" s="389" t="s">
        <v>84</v>
      </c>
      <c r="L9" s="389" t="s">
        <v>85</v>
      </c>
      <c r="M9" s="389" t="s">
        <v>85</v>
      </c>
      <c r="N9" s="390" t="s">
        <v>86</v>
      </c>
      <c r="O9" s="389" t="s">
        <v>87</v>
      </c>
      <c r="P9" s="389" t="s">
        <v>88</v>
      </c>
      <c r="Q9" s="388"/>
      <c r="R9" s="389"/>
      <c r="S9" s="389" t="s">
        <v>89</v>
      </c>
      <c r="T9" s="391" t="s">
        <v>90</v>
      </c>
      <c r="U9" s="388"/>
      <c r="V9" s="388"/>
      <c r="W9" s="388"/>
      <c r="X9" s="392"/>
      <c r="Y9" s="17"/>
    </row>
    <row r="10" spans="1:25" ht="13.5" customHeight="1" x14ac:dyDescent="0.3">
      <c r="A10" s="679" t="s">
        <v>91</v>
      </c>
      <c r="B10" s="688" t="s">
        <v>92</v>
      </c>
      <c r="C10" s="665"/>
      <c r="D10" s="665" t="s">
        <v>93</v>
      </c>
      <c r="E10" s="665" t="s">
        <v>40</v>
      </c>
      <c r="F10" s="691">
        <v>155096.01181683902</v>
      </c>
      <c r="G10" s="665" t="s">
        <v>94</v>
      </c>
      <c r="H10" s="665" t="s">
        <v>94</v>
      </c>
      <c r="I10" s="6" t="s">
        <v>43</v>
      </c>
      <c r="J10" s="7">
        <f>K10-8</f>
        <v>39911</v>
      </c>
      <c r="K10" s="7">
        <f>M10-10</f>
        <v>39919</v>
      </c>
      <c r="L10" s="7"/>
      <c r="M10" s="9">
        <v>39929</v>
      </c>
      <c r="N10" s="7">
        <v>39974</v>
      </c>
      <c r="O10" s="7">
        <v>40009</v>
      </c>
      <c r="P10" s="7">
        <f>O10+13</f>
        <v>40022</v>
      </c>
      <c r="Q10" s="6" t="s">
        <v>43</v>
      </c>
      <c r="R10" s="14"/>
      <c r="S10" s="7">
        <f>T10-7</f>
        <v>40014</v>
      </c>
      <c r="T10" s="7">
        <v>40021</v>
      </c>
      <c r="U10" s="4"/>
      <c r="V10" s="4">
        <v>40065</v>
      </c>
      <c r="W10" s="4">
        <v>40065</v>
      </c>
      <c r="X10" s="12"/>
      <c r="Y10" s="150">
        <f>X10/S2</f>
        <v>0</v>
      </c>
    </row>
    <row r="11" spans="1:25" ht="13.5" customHeight="1" x14ac:dyDescent="0.3">
      <c r="A11" s="680"/>
      <c r="B11" s="689"/>
      <c r="C11" s="666"/>
      <c r="D11" s="666"/>
      <c r="E11" s="666"/>
      <c r="F11" s="692"/>
      <c r="G11" s="666"/>
      <c r="H11" s="666"/>
      <c r="I11" s="6" t="s">
        <v>44</v>
      </c>
      <c r="J11" s="19">
        <v>39855</v>
      </c>
      <c r="K11" s="15">
        <v>39863</v>
      </c>
      <c r="L11" s="11"/>
      <c r="M11" s="15">
        <v>39873</v>
      </c>
      <c r="N11" s="7">
        <v>39963</v>
      </c>
      <c r="O11" s="7">
        <v>40081</v>
      </c>
      <c r="P11" s="4">
        <v>40086</v>
      </c>
      <c r="Q11" s="6" t="s">
        <v>44</v>
      </c>
      <c r="R11" s="14">
        <v>96967.37</v>
      </c>
      <c r="S11" s="32" t="s">
        <v>95</v>
      </c>
      <c r="T11" s="7">
        <v>40106</v>
      </c>
      <c r="U11" s="11"/>
      <c r="V11" s="4">
        <v>40532</v>
      </c>
      <c r="W11" s="4">
        <f>V11+365</f>
        <v>40897</v>
      </c>
      <c r="X11" s="12"/>
    </row>
    <row r="12" spans="1:25" ht="13.5" customHeight="1" x14ac:dyDescent="0.3">
      <c r="A12" s="681"/>
      <c r="B12" s="690"/>
      <c r="C12" s="667"/>
      <c r="D12" s="667"/>
      <c r="E12" s="667"/>
      <c r="F12" s="693"/>
      <c r="G12" s="667"/>
      <c r="H12" s="667"/>
      <c r="I12" s="310"/>
      <c r="J12" s="311"/>
      <c r="K12" s="311"/>
      <c r="L12" s="312"/>
      <c r="M12" s="313"/>
      <c r="N12" s="311"/>
      <c r="O12" s="311"/>
      <c r="P12" s="311"/>
      <c r="Q12" s="310"/>
      <c r="R12" s="314"/>
      <c r="S12" s="315"/>
      <c r="T12" s="311"/>
      <c r="U12" s="315"/>
      <c r="V12" s="316"/>
      <c r="W12" s="316"/>
      <c r="X12" s="317"/>
    </row>
    <row r="13" spans="1:25" ht="13.5" customHeight="1" x14ac:dyDescent="0.3">
      <c r="A13" s="679" t="s">
        <v>96</v>
      </c>
      <c r="B13" s="688" t="s">
        <v>97</v>
      </c>
      <c r="C13" s="665"/>
      <c r="D13" s="665" t="s">
        <v>93</v>
      </c>
      <c r="E13" s="665" t="s">
        <v>40</v>
      </c>
      <c r="F13" s="691">
        <v>51698.670605612999</v>
      </c>
      <c r="G13" s="665" t="s">
        <v>94</v>
      </c>
      <c r="H13" s="665" t="s">
        <v>94</v>
      </c>
      <c r="I13" s="6" t="s">
        <v>43</v>
      </c>
      <c r="J13" s="7">
        <f>K13-8</f>
        <v>39911</v>
      </c>
      <c r="K13" s="7">
        <f>M13-10</f>
        <v>39919</v>
      </c>
      <c r="L13" s="7"/>
      <c r="M13" s="9">
        <v>39929</v>
      </c>
      <c r="N13" s="7">
        <v>39974</v>
      </c>
      <c r="O13" s="7">
        <v>40009</v>
      </c>
      <c r="P13" s="7">
        <f>O13+13</f>
        <v>40022</v>
      </c>
      <c r="Q13" s="6" t="s">
        <v>43</v>
      </c>
      <c r="R13" s="14"/>
      <c r="S13" s="7">
        <f>T13-7</f>
        <v>40014</v>
      </c>
      <c r="T13" s="7">
        <v>40021</v>
      </c>
      <c r="U13" s="4"/>
      <c r="V13" s="4">
        <v>40065</v>
      </c>
      <c r="W13" s="4">
        <v>40065</v>
      </c>
      <c r="X13" s="12"/>
      <c r="Y13" s="150" t="s">
        <v>98</v>
      </c>
    </row>
    <row r="14" spans="1:25" ht="13.5" customHeight="1" x14ac:dyDescent="0.3">
      <c r="A14" s="680"/>
      <c r="B14" s="689"/>
      <c r="C14" s="666"/>
      <c r="D14" s="666"/>
      <c r="E14" s="666"/>
      <c r="F14" s="692"/>
      <c r="G14" s="666"/>
      <c r="H14" s="666"/>
      <c r="I14" s="6" t="s">
        <v>44</v>
      </c>
      <c r="J14" s="19">
        <v>39855</v>
      </c>
      <c r="K14" s="15">
        <v>39863</v>
      </c>
      <c r="L14" s="11"/>
      <c r="M14" s="15">
        <v>39873</v>
      </c>
      <c r="N14" s="7">
        <v>39963</v>
      </c>
      <c r="O14" s="7">
        <v>40081</v>
      </c>
      <c r="P14" s="4">
        <v>40086</v>
      </c>
      <c r="Q14" s="6" t="s">
        <v>44</v>
      </c>
      <c r="R14" s="14">
        <f>(917884/S2)</f>
        <v>52904.281869059756</v>
      </c>
      <c r="S14" s="32" t="s">
        <v>99</v>
      </c>
      <c r="T14" s="7">
        <v>40106</v>
      </c>
      <c r="U14" s="11"/>
      <c r="V14" s="4">
        <v>40559</v>
      </c>
      <c r="W14" s="4">
        <f>V14+365</f>
        <v>40924</v>
      </c>
      <c r="X14" s="12"/>
    </row>
    <row r="15" spans="1:25" ht="13.5" customHeight="1" x14ac:dyDescent="0.3">
      <c r="A15" s="681"/>
      <c r="B15" s="690"/>
      <c r="C15" s="667"/>
      <c r="D15" s="667"/>
      <c r="E15" s="667"/>
      <c r="F15" s="693"/>
      <c r="G15" s="667"/>
      <c r="H15" s="667"/>
      <c r="I15" s="310"/>
      <c r="J15" s="311"/>
      <c r="K15" s="311"/>
      <c r="L15" s="312"/>
      <c r="M15" s="313"/>
      <c r="N15" s="311"/>
      <c r="O15" s="311"/>
      <c r="P15" s="311"/>
      <c r="Q15" s="310"/>
      <c r="R15" s="314"/>
      <c r="S15" s="315"/>
      <c r="T15" s="311"/>
      <c r="U15" s="315"/>
      <c r="V15" s="316"/>
      <c r="W15" s="316"/>
      <c r="X15" s="317"/>
    </row>
    <row r="16" spans="1:25" ht="13.5" customHeight="1" x14ac:dyDescent="0.3">
      <c r="A16" s="679" t="s">
        <v>100</v>
      </c>
      <c r="B16" s="688" t="s">
        <v>101</v>
      </c>
      <c r="C16" s="665"/>
      <c r="D16" s="665" t="s">
        <v>93</v>
      </c>
      <c r="E16" s="665" t="s">
        <v>40</v>
      </c>
      <c r="F16" s="691">
        <v>103397.341211226</v>
      </c>
      <c r="G16" s="665" t="s">
        <v>94</v>
      </c>
      <c r="H16" s="665" t="s">
        <v>94</v>
      </c>
      <c r="I16" s="6" t="s">
        <v>43</v>
      </c>
      <c r="J16" s="7">
        <f>K16-8</f>
        <v>40119</v>
      </c>
      <c r="K16" s="7">
        <f>M16-10</f>
        <v>40127</v>
      </c>
      <c r="L16" s="7"/>
      <c r="M16" s="9">
        <v>40137</v>
      </c>
      <c r="N16" s="7">
        <v>40168</v>
      </c>
      <c r="O16" s="7">
        <v>40179</v>
      </c>
      <c r="P16" s="7">
        <f>O16+13</f>
        <v>40192</v>
      </c>
      <c r="Q16" s="6" t="s">
        <v>43</v>
      </c>
      <c r="R16" s="14"/>
      <c r="S16" s="7">
        <v>40186</v>
      </c>
      <c r="T16" s="7">
        <v>40193</v>
      </c>
      <c r="U16" s="4"/>
      <c r="V16" s="4">
        <v>40283</v>
      </c>
      <c r="W16" s="4">
        <v>40648</v>
      </c>
      <c r="X16" s="12"/>
    </row>
    <row r="17" spans="1:24" ht="13.5" customHeight="1" x14ac:dyDescent="0.3">
      <c r="A17" s="680"/>
      <c r="B17" s="689"/>
      <c r="C17" s="666"/>
      <c r="D17" s="666"/>
      <c r="E17" s="666"/>
      <c r="F17" s="692"/>
      <c r="G17" s="666"/>
      <c r="H17" s="666"/>
      <c r="I17" s="6" t="s">
        <v>44</v>
      </c>
      <c r="J17" s="19">
        <v>40142</v>
      </c>
      <c r="K17" s="15">
        <v>40150</v>
      </c>
      <c r="L17" s="11"/>
      <c r="M17" s="15">
        <v>40160</v>
      </c>
      <c r="N17" s="7">
        <v>40191</v>
      </c>
      <c r="O17" s="7">
        <v>40193</v>
      </c>
      <c r="P17" s="4">
        <v>40210</v>
      </c>
      <c r="Q17" s="6" t="s">
        <v>44</v>
      </c>
      <c r="R17" s="14">
        <f>1308907/S2</f>
        <v>75441.760471241898</v>
      </c>
      <c r="S17" s="7">
        <v>40217</v>
      </c>
      <c r="T17" s="13">
        <f>S17+10</f>
        <v>40227</v>
      </c>
      <c r="U17" s="11"/>
      <c r="V17" s="4">
        <f>T17+120</f>
        <v>40347</v>
      </c>
      <c r="W17" s="4">
        <f>V17+365</f>
        <v>40712</v>
      </c>
      <c r="X17" s="12"/>
    </row>
    <row r="18" spans="1:24" ht="13.5" customHeight="1" x14ac:dyDescent="0.3">
      <c r="A18" s="681"/>
      <c r="B18" s="690"/>
      <c r="C18" s="667"/>
      <c r="D18" s="667"/>
      <c r="E18" s="667"/>
      <c r="F18" s="693"/>
      <c r="G18" s="667"/>
      <c r="H18" s="667"/>
      <c r="I18" s="310"/>
      <c r="J18" s="311"/>
      <c r="K18" s="311"/>
      <c r="L18" s="312"/>
      <c r="M18" s="313"/>
      <c r="N18" s="311"/>
      <c r="O18" s="311"/>
      <c r="P18" s="311"/>
      <c r="Q18" s="310"/>
      <c r="R18" s="314"/>
      <c r="S18" s="315"/>
      <c r="T18" s="311"/>
      <c r="U18" s="315"/>
      <c r="V18" s="316"/>
      <c r="W18" s="316"/>
      <c r="X18" s="317"/>
    </row>
    <row r="19" spans="1:24" ht="13.5" customHeight="1" x14ac:dyDescent="0.3">
      <c r="A19" s="679" t="s">
        <v>102</v>
      </c>
      <c r="B19" s="688" t="s">
        <v>92</v>
      </c>
      <c r="C19" s="665"/>
      <c r="D19" s="665" t="s">
        <v>93</v>
      </c>
      <c r="E19" s="665" t="s">
        <v>40</v>
      </c>
      <c r="F19" s="691">
        <v>77548.005908419509</v>
      </c>
      <c r="G19" s="665" t="s">
        <v>94</v>
      </c>
      <c r="H19" s="665" t="s">
        <v>94</v>
      </c>
      <c r="I19" s="6" t="s">
        <v>43</v>
      </c>
      <c r="J19" s="7">
        <f>K19-8</f>
        <v>39887</v>
      </c>
      <c r="K19" s="7">
        <f>M19-10</f>
        <v>39895</v>
      </c>
      <c r="L19" s="7"/>
      <c r="M19" s="9">
        <v>39905</v>
      </c>
      <c r="N19" s="7">
        <v>39950</v>
      </c>
      <c r="O19" s="7">
        <v>39985</v>
      </c>
      <c r="P19" s="7">
        <f>O19+13</f>
        <v>39998</v>
      </c>
      <c r="Q19" s="6" t="s">
        <v>43</v>
      </c>
      <c r="R19" s="14"/>
      <c r="S19" s="7">
        <f>T19-7</f>
        <v>40014</v>
      </c>
      <c r="T19" s="7">
        <v>40021</v>
      </c>
      <c r="U19" s="4"/>
      <c r="V19" s="4">
        <v>40065</v>
      </c>
      <c r="W19" s="4">
        <v>40430</v>
      </c>
      <c r="X19" s="12"/>
    </row>
    <row r="20" spans="1:24" ht="13.5" customHeight="1" x14ac:dyDescent="0.3">
      <c r="A20" s="680"/>
      <c r="B20" s="689"/>
      <c r="C20" s="666"/>
      <c r="D20" s="666"/>
      <c r="E20" s="666"/>
      <c r="F20" s="692"/>
      <c r="G20" s="666"/>
      <c r="H20" s="666"/>
      <c r="I20" s="6" t="s">
        <v>44</v>
      </c>
      <c r="J20" s="19">
        <v>39855</v>
      </c>
      <c r="K20" s="15">
        <v>39863</v>
      </c>
      <c r="L20" s="11"/>
      <c r="M20" s="15">
        <v>39873</v>
      </c>
      <c r="N20" s="7">
        <v>39963</v>
      </c>
      <c r="O20" s="7">
        <v>40081</v>
      </c>
      <c r="P20" s="4">
        <v>40086</v>
      </c>
      <c r="Q20" s="6" t="s">
        <v>44</v>
      </c>
      <c r="R20" s="14">
        <f>(1633609.5+300000)/S2</f>
        <v>111447.87578026386</v>
      </c>
      <c r="S20" s="32" t="s">
        <v>99</v>
      </c>
      <c r="T20" s="13">
        <f>S20+10</f>
        <v>40468</v>
      </c>
      <c r="U20" s="11"/>
      <c r="V20" s="4">
        <f>T20+120</f>
        <v>40588</v>
      </c>
      <c r="W20" s="4">
        <f>V20+365</f>
        <v>40953</v>
      </c>
      <c r="X20" s="12"/>
    </row>
    <row r="21" spans="1:24" ht="13.5" customHeight="1" x14ac:dyDescent="0.3">
      <c r="A21" s="681"/>
      <c r="B21" s="690"/>
      <c r="C21" s="667"/>
      <c r="D21" s="667"/>
      <c r="E21" s="667"/>
      <c r="F21" s="693"/>
      <c r="G21" s="667"/>
      <c r="H21" s="667"/>
      <c r="I21" s="310"/>
      <c r="J21" s="311"/>
      <c r="K21" s="311"/>
      <c r="L21" s="312"/>
      <c r="M21" s="313"/>
      <c r="N21" s="311"/>
      <c r="O21" s="311"/>
      <c r="P21" s="311"/>
      <c r="Q21" s="310"/>
      <c r="R21" s="314"/>
      <c r="S21" s="315"/>
      <c r="T21" s="311"/>
      <c r="U21" s="315"/>
      <c r="V21" s="316"/>
      <c r="W21" s="316"/>
      <c r="X21" s="317"/>
    </row>
    <row r="22" spans="1:24" ht="13.5" customHeight="1" x14ac:dyDescent="0.3">
      <c r="A22" s="679" t="s">
        <v>103</v>
      </c>
      <c r="B22" s="688" t="s">
        <v>104</v>
      </c>
      <c r="C22" s="665"/>
      <c r="D22" s="665" t="s">
        <v>93</v>
      </c>
      <c r="E22" s="665" t="s">
        <v>40</v>
      </c>
      <c r="F22" s="691">
        <v>25849.335302806499</v>
      </c>
      <c r="G22" s="665" t="s">
        <v>94</v>
      </c>
      <c r="H22" s="665" t="s">
        <v>94</v>
      </c>
      <c r="I22" s="6" t="s">
        <v>43</v>
      </c>
      <c r="J22" s="7">
        <f>K22-8</f>
        <v>39887</v>
      </c>
      <c r="K22" s="7">
        <f>M22-10</f>
        <v>39895</v>
      </c>
      <c r="L22" s="7"/>
      <c r="M22" s="9">
        <v>39905</v>
      </c>
      <c r="N22" s="7">
        <v>39950</v>
      </c>
      <c r="O22" s="7">
        <v>39985</v>
      </c>
      <c r="P22" s="7">
        <f>O22+13</f>
        <v>39998</v>
      </c>
      <c r="Q22" s="6" t="s">
        <v>43</v>
      </c>
      <c r="R22" s="14"/>
      <c r="S22" s="7">
        <f>T22-7</f>
        <v>39990</v>
      </c>
      <c r="T22" s="7">
        <v>39997</v>
      </c>
      <c r="U22" s="4"/>
      <c r="V22" s="4">
        <v>40027</v>
      </c>
      <c r="W22" s="4">
        <v>40392</v>
      </c>
      <c r="X22" s="12"/>
    </row>
    <row r="23" spans="1:24" ht="13.5" customHeight="1" x14ac:dyDescent="0.3">
      <c r="A23" s="680"/>
      <c r="B23" s="689"/>
      <c r="C23" s="666"/>
      <c r="D23" s="666"/>
      <c r="E23" s="666"/>
      <c r="F23" s="692"/>
      <c r="G23" s="666"/>
      <c r="H23" s="666"/>
      <c r="I23" s="6" t="s">
        <v>44</v>
      </c>
      <c r="J23" s="19">
        <v>39860</v>
      </c>
      <c r="K23" s="15">
        <v>39868</v>
      </c>
      <c r="L23" s="11"/>
      <c r="M23" s="15">
        <v>39878</v>
      </c>
      <c r="N23" s="7">
        <v>39908</v>
      </c>
      <c r="O23" s="7">
        <v>39933</v>
      </c>
      <c r="P23" s="4">
        <v>39945</v>
      </c>
      <c r="Q23" s="6" t="s">
        <v>44</v>
      </c>
      <c r="R23" s="14">
        <v>25327.03</v>
      </c>
      <c r="S23" s="7">
        <f>T23-10</f>
        <v>39952</v>
      </c>
      <c r="T23" s="7">
        <v>39962</v>
      </c>
      <c r="U23" s="11"/>
      <c r="V23" s="4">
        <f>T23+120</f>
        <v>40082</v>
      </c>
      <c r="W23" s="4">
        <f>V23+365</f>
        <v>40447</v>
      </c>
      <c r="X23" s="12"/>
    </row>
    <row r="24" spans="1:24" ht="13.5" customHeight="1" x14ac:dyDescent="0.3">
      <c r="A24" s="681"/>
      <c r="B24" s="690"/>
      <c r="C24" s="667"/>
      <c r="D24" s="667"/>
      <c r="E24" s="667"/>
      <c r="F24" s="693"/>
      <c r="G24" s="667"/>
      <c r="H24" s="667"/>
      <c r="I24" s="310"/>
      <c r="J24" s="311"/>
      <c r="K24" s="311"/>
      <c r="L24" s="312"/>
      <c r="M24" s="313"/>
      <c r="N24" s="311"/>
      <c r="O24" s="311"/>
      <c r="P24" s="311"/>
      <c r="Q24" s="310"/>
      <c r="R24" s="314"/>
      <c r="S24" s="315"/>
      <c r="T24" s="311"/>
      <c r="U24" s="315"/>
      <c r="V24" s="316"/>
      <c r="W24" s="316"/>
      <c r="X24" s="317"/>
    </row>
    <row r="25" spans="1:24" ht="13.5" customHeight="1" x14ac:dyDescent="0.3">
      <c r="A25" s="679" t="s">
        <v>105</v>
      </c>
      <c r="B25" s="688" t="s">
        <v>106</v>
      </c>
      <c r="C25" s="665"/>
      <c r="D25" s="665" t="s">
        <v>93</v>
      </c>
      <c r="E25" s="665" t="s">
        <v>40</v>
      </c>
      <c r="F25" s="691">
        <f>420000*2/S2</f>
        <v>48415.264641294758</v>
      </c>
      <c r="G25" s="665" t="s">
        <v>94</v>
      </c>
      <c r="H25" s="665" t="s">
        <v>94</v>
      </c>
      <c r="I25" s="6" t="s">
        <v>43</v>
      </c>
      <c r="J25" s="7">
        <v>40420</v>
      </c>
      <c r="K25" s="7">
        <v>40436</v>
      </c>
      <c r="L25" s="8"/>
      <c r="M25" s="9">
        <v>40446</v>
      </c>
      <c r="N25" s="7">
        <v>40476</v>
      </c>
      <c r="O25" s="7">
        <v>40492</v>
      </c>
      <c r="P25" s="7">
        <v>40507</v>
      </c>
      <c r="Q25" s="6" t="s">
        <v>43</v>
      </c>
      <c r="R25" s="10"/>
      <c r="S25" s="7">
        <v>40512</v>
      </c>
      <c r="T25" s="7">
        <v>40519</v>
      </c>
      <c r="U25" s="4"/>
      <c r="V25" s="4">
        <v>40701</v>
      </c>
      <c r="W25" s="4">
        <f>V25+365</f>
        <v>41066</v>
      </c>
      <c r="X25" s="12"/>
    </row>
    <row r="26" spans="1:24" ht="13.5" customHeight="1" x14ac:dyDescent="0.3">
      <c r="A26" s="680"/>
      <c r="B26" s="689"/>
      <c r="C26" s="666"/>
      <c r="D26" s="666"/>
      <c r="E26" s="666"/>
      <c r="F26" s="692"/>
      <c r="G26" s="666"/>
      <c r="H26" s="666"/>
      <c r="I26" s="6" t="s">
        <v>44</v>
      </c>
      <c r="J26" s="7">
        <v>40379</v>
      </c>
      <c r="K26" s="7">
        <v>40384</v>
      </c>
      <c r="L26" s="8"/>
      <c r="M26" s="9">
        <v>40416</v>
      </c>
      <c r="N26" s="7">
        <v>40477</v>
      </c>
      <c r="O26" s="7">
        <v>40492</v>
      </c>
      <c r="P26" s="7">
        <v>40497</v>
      </c>
      <c r="Q26" s="6" t="s">
        <v>44</v>
      </c>
      <c r="R26" s="10">
        <f>745809.5+410000/S2</f>
        <v>769440.76012253668</v>
      </c>
      <c r="S26" s="32" t="s">
        <v>107</v>
      </c>
      <c r="T26" s="7">
        <v>40543</v>
      </c>
      <c r="U26" s="11"/>
      <c r="V26" s="4">
        <f>T26+10</f>
        <v>40553</v>
      </c>
      <c r="W26" s="4">
        <f>V26+365</f>
        <v>40918</v>
      </c>
      <c r="X26" s="12"/>
    </row>
    <row r="27" spans="1:24" ht="13.5" customHeight="1" x14ac:dyDescent="0.3">
      <c r="A27" s="681"/>
      <c r="B27" s="690"/>
      <c r="C27" s="667"/>
      <c r="D27" s="667"/>
      <c r="E27" s="667"/>
      <c r="F27" s="693"/>
      <c r="G27" s="667"/>
      <c r="H27" s="667"/>
      <c r="I27" s="310"/>
      <c r="J27" s="311"/>
      <c r="K27" s="311"/>
      <c r="L27" s="312"/>
      <c r="M27" s="313"/>
      <c r="N27" s="311"/>
      <c r="O27" s="311"/>
      <c r="P27" s="311"/>
      <c r="Q27" s="310"/>
      <c r="R27" s="314"/>
      <c r="S27" s="315"/>
      <c r="T27" s="311"/>
      <c r="U27" s="315"/>
      <c r="V27" s="316"/>
      <c r="W27" s="316"/>
      <c r="X27" s="317"/>
    </row>
    <row r="28" spans="1:24" ht="13.5" customHeight="1" x14ac:dyDescent="0.3">
      <c r="A28" s="679" t="s">
        <v>108</v>
      </c>
      <c r="B28" s="688" t="s">
        <v>109</v>
      </c>
      <c r="C28" s="665"/>
      <c r="D28" s="665" t="s">
        <v>93</v>
      </c>
      <c r="E28" s="665" t="s">
        <v>40</v>
      </c>
      <c r="F28" s="691">
        <f>2*420000/S2</f>
        <v>48415.264641294758</v>
      </c>
      <c r="G28" s="665" t="s">
        <v>94</v>
      </c>
      <c r="H28" s="665" t="s">
        <v>94</v>
      </c>
      <c r="I28" s="6" t="s">
        <v>43</v>
      </c>
      <c r="J28" s="7">
        <v>40420</v>
      </c>
      <c r="K28" s="7">
        <v>40436</v>
      </c>
      <c r="L28" s="7"/>
      <c r="M28" s="9">
        <v>40446</v>
      </c>
      <c r="N28" s="7">
        <v>40476</v>
      </c>
      <c r="O28" s="13">
        <v>40492</v>
      </c>
      <c r="P28" s="7">
        <v>40507</v>
      </c>
      <c r="Q28" s="6" t="s">
        <v>43</v>
      </c>
      <c r="R28" s="14"/>
      <c r="S28" s="7">
        <v>40512</v>
      </c>
      <c r="T28" s="7">
        <v>40519</v>
      </c>
      <c r="U28" s="4"/>
      <c r="V28" s="4">
        <v>40701</v>
      </c>
      <c r="W28" s="4">
        <f>V28+365</f>
        <v>41066</v>
      </c>
      <c r="X28" s="12"/>
    </row>
    <row r="29" spans="1:24" ht="13.5" customHeight="1" x14ac:dyDescent="0.3">
      <c r="A29" s="680"/>
      <c r="B29" s="689"/>
      <c r="C29" s="666"/>
      <c r="D29" s="666"/>
      <c r="E29" s="666"/>
      <c r="F29" s="692"/>
      <c r="G29" s="666"/>
      <c r="H29" s="666"/>
      <c r="I29" s="6" t="s">
        <v>44</v>
      </c>
      <c r="J29" s="7">
        <v>40563</v>
      </c>
      <c r="K29" s="7">
        <v>40568</v>
      </c>
      <c r="L29" s="11"/>
      <c r="M29" s="15">
        <v>40668</v>
      </c>
      <c r="N29" s="7">
        <v>40690</v>
      </c>
      <c r="O29" s="7">
        <v>40756</v>
      </c>
      <c r="P29" s="4">
        <v>40765</v>
      </c>
      <c r="Q29" s="6" t="s">
        <v>44</v>
      </c>
      <c r="R29" s="14">
        <f>(1428370/2)/S2</f>
        <v>41163.63783076559</v>
      </c>
      <c r="S29" s="32" t="s">
        <v>110</v>
      </c>
      <c r="T29" s="32" t="s">
        <v>111</v>
      </c>
      <c r="U29" s="11"/>
      <c r="V29" s="4">
        <v>40885</v>
      </c>
      <c r="W29" s="4">
        <f>V29+0</f>
        <v>40885</v>
      </c>
      <c r="X29" s="12"/>
    </row>
    <row r="30" spans="1:24" ht="13.5" customHeight="1" x14ac:dyDescent="0.3">
      <c r="A30" s="681"/>
      <c r="B30" s="690"/>
      <c r="C30" s="667"/>
      <c r="D30" s="667"/>
      <c r="E30" s="667"/>
      <c r="F30" s="693"/>
      <c r="G30" s="667"/>
      <c r="H30" s="667"/>
      <c r="I30" s="310"/>
      <c r="J30" s="311"/>
      <c r="K30" s="311"/>
      <c r="L30" s="312"/>
      <c r="M30" s="313"/>
      <c r="N30" s="311"/>
      <c r="O30" s="311"/>
      <c r="P30" s="311"/>
      <c r="Q30" s="310"/>
      <c r="R30" s="314"/>
      <c r="S30" s="315"/>
      <c r="T30" s="311"/>
      <c r="U30" s="315"/>
      <c r="V30" s="316"/>
      <c r="W30" s="316"/>
      <c r="X30" s="317"/>
    </row>
    <row r="31" spans="1:24" ht="13.5" customHeight="1" x14ac:dyDescent="0.3">
      <c r="A31" s="679" t="s">
        <v>112</v>
      </c>
      <c r="B31" s="688" t="s">
        <v>113</v>
      </c>
      <c r="C31" s="665"/>
      <c r="D31" s="665" t="s">
        <v>93</v>
      </c>
      <c r="E31" s="665" t="s">
        <v>40</v>
      </c>
      <c r="F31" s="691">
        <f>(420000*1)/S2</f>
        <v>24207.632320647379</v>
      </c>
      <c r="G31" s="665" t="s">
        <v>94</v>
      </c>
      <c r="H31" s="665" t="s">
        <v>94</v>
      </c>
      <c r="I31" s="6" t="s">
        <v>43</v>
      </c>
      <c r="J31" s="7">
        <v>40481</v>
      </c>
      <c r="K31" s="7">
        <v>40497</v>
      </c>
      <c r="L31" s="7"/>
      <c r="M31" s="9">
        <v>40507</v>
      </c>
      <c r="N31" s="7">
        <v>40537</v>
      </c>
      <c r="O31" s="13">
        <v>40553</v>
      </c>
      <c r="P31" s="7">
        <v>40568</v>
      </c>
      <c r="Q31" s="6" t="s">
        <v>43</v>
      </c>
      <c r="R31" s="14"/>
      <c r="S31" s="7">
        <v>40573</v>
      </c>
      <c r="T31" s="7">
        <v>40581</v>
      </c>
      <c r="U31" s="4"/>
      <c r="V31" s="4">
        <v>40762</v>
      </c>
      <c r="W31" s="4">
        <v>40969</v>
      </c>
      <c r="X31" s="12"/>
    </row>
    <row r="32" spans="1:24" ht="13.5" customHeight="1" x14ac:dyDescent="0.3">
      <c r="A32" s="680"/>
      <c r="B32" s="689"/>
      <c r="C32" s="666"/>
      <c r="D32" s="666"/>
      <c r="E32" s="666"/>
      <c r="F32" s="692"/>
      <c r="G32" s="666"/>
      <c r="H32" s="666"/>
      <c r="I32" s="6" t="s">
        <v>44</v>
      </c>
      <c r="J32" s="7">
        <v>40563</v>
      </c>
      <c r="K32" s="7">
        <v>40568</v>
      </c>
      <c r="L32" s="11"/>
      <c r="M32" s="9">
        <v>40586</v>
      </c>
      <c r="N32" s="7">
        <v>40616</v>
      </c>
      <c r="O32" s="7">
        <v>40632</v>
      </c>
      <c r="P32" s="4">
        <f>S32-7</f>
        <v>40679</v>
      </c>
      <c r="Q32" s="6" t="s">
        <v>44</v>
      </c>
      <c r="R32" s="14">
        <f>1700045/3/S2</f>
        <v>32661.955784567435</v>
      </c>
      <c r="S32" s="151" t="s">
        <v>114</v>
      </c>
      <c r="T32" s="151" t="s">
        <v>115</v>
      </c>
      <c r="U32" s="11"/>
      <c r="V32" s="4">
        <v>40795</v>
      </c>
      <c r="W32" s="4">
        <f>V32+365</f>
        <v>41160</v>
      </c>
      <c r="X32" s="12"/>
    </row>
    <row r="33" spans="1:25" ht="13.5" customHeight="1" x14ac:dyDescent="0.3">
      <c r="A33" s="681"/>
      <c r="B33" s="690"/>
      <c r="C33" s="667"/>
      <c r="D33" s="667"/>
      <c r="E33" s="667"/>
      <c r="F33" s="693"/>
      <c r="G33" s="667"/>
      <c r="H33" s="667"/>
      <c r="I33" s="310"/>
      <c r="J33" s="311"/>
      <c r="K33" s="311"/>
      <c r="L33" s="312"/>
      <c r="M33" s="313"/>
      <c r="N33" s="311"/>
      <c r="O33" s="311"/>
      <c r="P33" s="311"/>
      <c r="Q33" s="310"/>
      <c r="R33" s="314"/>
      <c r="S33" s="315"/>
      <c r="T33" s="311"/>
      <c r="U33" s="315"/>
      <c r="V33" s="316"/>
      <c r="W33" s="316"/>
      <c r="X33" s="317"/>
    </row>
    <row r="34" spans="1:25" ht="13.5" customHeight="1" x14ac:dyDescent="0.3">
      <c r="A34" s="679" t="s">
        <v>116</v>
      </c>
      <c r="B34" s="688" t="s">
        <v>117</v>
      </c>
      <c r="C34" s="665"/>
      <c r="D34" s="665" t="s">
        <v>93</v>
      </c>
      <c r="E34" s="665" t="s">
        <v>40</v>
      </c>
      <c r="F34" s="691">
        <f>(420000*2)/S2</f>
        <v>48415.264641294758</v>
      </c>
      <c r="G34" s="665" t="s">
        <v>94</v>
      </c>
      <c r="H34" s="665" t="s">
        <v>94</v>
      </c>
      <c r="I34" s="6" t="s">
        <v>43</v>
      </c>
      <c r="J34" s="7">
        <f>K34-8</f>
        <v>39911</v>
      </c>
      <c r="K34" s="7">
        <f>M34-10</f>
        <v>39919</v>
      </c>
      <c r="L34" s="7"/>
      <c r="M34" s="9">
        <v>39929</v>
      </c>
      <c r="N34" s="7">
        <v>39974</v>
      </c>
      <c r="O34" s="7">
        <v>40009</v>
      </c>
      <c r="P34" s="7">
        <f>O34+13</f>
        <v>40022</v>
      </c>
      <c r="Q34" s="6" t="s">
        <v>43</v>
      </c>
      <c r="R34" s="10"/>
      <c r="S34" s="7">
        <f>T34-7</f>
        <v>40014</v>
      </c>
      <c r="T34" s="7">
        <v>40021</v>
      </c>
      <c r="U34" s="4"/>
      <c r="V34" s="4">
        <v>40071</v>
      </c>
      <c r="W34" s="4">
        <f>V34+365</f>
        <v>40436</v>
      </c>
      <c r="X34" s="12"/>
    </row>
    <row r="35" spans="1:25" ht="13.5" customHeight="1" x14ac:dyDescent="0.3">
      <c r="A35" s="680"/>
      <c r="B35" s="689"/>
      <c r="C35" s="666"/>
      <c r="D35" s="666"/>
      <c r="E35" s="666"/>
      <c r="F35" s="692"/>
      <c r="G35" s="666"/>
      <c r="H35" s="666"/>
      <c r="I35" s="6" t="s">
        <v>44</v>
      </c>
      <c r="J35" s="7">
        <v>39855</v>
      </c>
      <c r="K35" s="7">
        <v>39863</v>
      </c>
      <c r="L35" s="11"/>
      <c r="M35" s="15">
        <v>39873</v>
      </c>
      <c r="N35" s="7">
        <v>39902</v>
      </c>
      <c r="O35" s="13">
        <v>39938</v>
      </c>
      <c r="P35" s="4">
        <v>39933</v>
      </c>
      <c r="Q35" s="6" t="s">
        <v>44</v>
      </c>
      <c r="R35" s="10">
        <f>(187140+160068)/S2</f>
        <v>20012.103816160321</v>
      </c>
      <c r="S35" s="7" t="s">
        <v>118</v>
      </c>
      <c r="T35" s="7">
        <v>39973</v>
      </c>
      <c r="U35" s="11"/>
      <c r="V35" s="16">
        <v>40675</v>
      </c>
      <c r="W35" s="4">
        <f>V35+365</f>
        <v>41040</v>
      </c>
      <c r="X35" s="12"/>
    </row>
    <row r="36" spans="1:25" ht="13.5" customHeight="1" x14ac:dyDescent="0.3">
      <c r="A36" s="681"/>
      <c r="B36" s="690"/>
      <c r="C36" s="667"/>
      <c r="D36" s="667"/>
      <c r="E36" s="667"/>
      <c r="F36" s="693"/>
      <c r="G36" s="667"/>
      <c r="H36" s="667"/>
      <c r="I36" s="310"/>
      <c r="J36" s="311"/>
      <c r="K36" s="311"/>
      <c r="L36" s="312"/>
      <c r="M36" s="313"/>
      <c r="N36" s="311"/>
      <c r="O36" s="311"/>
      <c r="P36" s="311"/>
      <c r="Q36" s="310"/>
      <c r="R36" s="314"/>
      <c r="S36" s="315"/>
      <c r="T36" s="311"/>
      <c r="U36" s="315"/>
      <c r="V36" s="316"/>
      <c r="W36" s="316"/>
      <c r="X36" s="317"/>
    </row>
    <row r="37" spans="1:25" ht="13.5" customHeight="1" x14ac:dyDescent="0.3">
      <c r="A37" s="707" t="s">
        <v>119</v>
      </c>
      <c r="B37" s="708"/>
      <c r="C37" s="387"/>
      <c r="D37" s="388"/>
      <c r="E37" s="388"/>
      <c r="F37" s="393"/>
      <c r="G37" s="388"/>
      <c r="H37" s="388"/>
      <c r="I37" s="388"/>
      <c r="J37" s="389"/>
      <c r="K37" s="389"/>
      <c r="L37" s="389"/>
      <c r="M37" s="389"/>
      <c r="N37" s="390"/>
      <c r="O37" s="389"/>
      <c r="P37" s="389"/>
      <c r="Q37" s="388"/>
      <c r="R37" s="389"/>
      <c r="S37" s="389"/>
      <c r="T37" s="391"/>
      <c r="U37" s="388"/>
      <c r="V37" s="388"/>
      <c r="W37" s="388"/>
      <c r="X37" s="392"/>
      <c r="Y37" s="17"/>
    </row>
    <row r="38" spans="1:25" ht="13.5" customHeight="1" x14ac:dyDescent="0.3">
      <c r="A38" s="679" t="s">
        <v>120</v>
      </c>
      <c r="B38" s="688" t="s">
        <v>121</v>
      </c>
      <c r="C38" s="665"/>
      <c r="D38" s="665" t="s">
        <v>93</v>
      </c>
      <c r="E38" s="665" t="s">
        <v>40</v>
      </c>
      <c r="F38" s="691">
        <f>420000*6/S2</f>
        <v>145245.79392388428</v>
      </c>
      <c r="G38" s="665" t="s">
        <v>94</v>
      </c>
      <c r="H38" s="665" t="s">
        <v>94</v>
      </c>
      <c r="I38" s="6" t="s">
        <v>43</v>
      </c>
      <c r="J38" s="7">
        <v>40481</v>
      </c>
      <c r="K38" s="7">
        <v>40497</v>
      </c>
      <c r="L38" s="7"/>
      <c r="M38" s="9">
        <v>40507</v>
      </c>
      <c r="N38" s="7">
        <v>40537</v>
      </c>
      <c r="O38" s="13">
        <v>40553</v>
      </c>
      <c r="P38" s="7" t="s">
        <v>122</v>
      </c>
      <c r="Q38" s="6" t="s">
        <v>43</v>
      </c>
      <c r="R38" s="14"/>
      <c r="S38" s="7">
        <v>40573</v>
      </c>
      <c r="T38" s="7">
        <v>40581</v>
      </c>
      <c r="U38" s="4"/>
      <c r="V38" s="4">
        <v>40762</v>
      </c>
      <c r="W38" s="18">
        <f>V38+365</f>
        <v>41127</v>
      </c>
      <c r="X38" s="12"/>
    </row>
    <row r="39" spans="1:25" ht="13.5" customHeight="1" x14ac:dyDescent="0.3">
      <c r="A39" s="680"/>
      <c r="B39" s="689"/>
      <c r="C39" s="666"/>
      <c r="D39" s="666"/>
      <c r="E39" s="666"/>
      <c r="F39" s="692"/>
      <c r="G39" s="666"/>
      <c r="H39" s="666"/>
      <c r="I39" s="6" t="s">
        <v>44</v>
      </c>
      <c r="J39" s="7">
        <v>40563</v>
      </c>
      <c r="K39" s="7">
        <v>40568</v>
      </c>
      <c r="L39" s="11"/>
      <c r="M39" s="9">
        <v>40587</v>
      </c>
      <c r="N39" s="7">
        <v>40616</v>
      </c>
      <c r="O39" s="7">
        <v>40632</v>
      </c>
      <c r="P39" s="4">
        <f>O39+1</f>
        <v>40633</v>
      </c>
      <c r="Q39" s="6" t="s">
        <v>44</v>
      </c>
      <c r="R39" s="14">
        <f>((3820587.5/9)*6+(420000*2))/S2</f>
        <v>195220.62567123346</v>
      </c>
      <c r="S39" s="7" t="s">
        <v>114</v>
      </c>
      <c r="T39" s="7" t="s">
        <v>123</v>
      </c>
      <c r="U39" s="7"/>
      <c r="V39" s="7">
        <f>T39+120</f>
        <v>40844</v>
      </c>
      <c r="W39" s="18">
        <f>V39+365</f>
        <v>41209</v>
      </c>
      <c r="X39" s="152"/>
    </row>
    <row r="40" spans="1:25" ht="13.5" customHeight="1" x14ac:dyDescent="0.3">
      <c r="A40" s="681"/>
      <c r="B40" s="690"/>
      <c r="C40" s="667"/>
      <c r="D40" s="667"/>
      <c r="E40" s="667"/>
      <c r="F40" s="693"/>
      <c r="G40" s="667"/>
      <c r="H40" s="667"/>
      <c r="I40" s="310"/>
      <c r="J40" s="311"/>
      <c r="K40" s="311"/>
      <c r="L40" s="312"/>
      <c r="M40" s="313"/>
      <c r="N40" s="311"/>
      <c r="O40" s="311"/>
      <c r="P40" s="311"/>
      <c r="Q40" s="310"/>
      <c r="R40" s="314"/>
      <c r="S40" s="315"/>
      <c r="T40" s="311"/>
      <c r="U40" s="315"/>
      <c r="V40" s="316"/>
      <c r="W40" s="316"/>
      <c r="X40" s="317"/>
    </row>
    <row r="41" spans="1:25" ht="13.5" customHeight="1" x14ac:dyDescent="0.3">
      <c r="A41" s="679" t="s">
        <v>124</v>
      </c>
      <c r="B41" s="688" t="s">
        <v>125</v>
      </c>
      <c r="C41" s="665"/>
      <c r="D41" s="665" t="s">
        <v>93</v>
      </c>
      <c r="E41" s="665" t="s">
        <v>40</v>
      </c>
      <c r="F41" s="691">
        <f>8*420000/S2</f>
        <v>193661.05856517903</v>
      </c>
      <c r="G41" s="665" t="s">
        <v>94</v>
      </c>
      <c r="H41" s="665" t="s">
        <v>94</v>
      </c>
      <c r="I41" s="6" t="s">
        <v>43</v>
      </c>
      <c r="J41" s="7">
        <v>40420</v>
      </c>
      <c r="K41" s="7">
        <v>40436</v>
      </c>
      <c r="L41" s="7"/>
      <c r="M41" s="9">
        <v>40446</v>
      </c>
      <c r="N41" s="7">
        <v>40476</v>
      </c>
      <c r="O41" s="13">
        <v>40492</v>
      </c>
      <c r="P41" s="7">
        <v>40507</v>
      </c>
      <c r="Q41" s="6" t="s">
        <v>43</v>
      </c>
      <c r="R41" s="14"/>
      <c r="S41" s="7">
        <v>40512</v>
      </c>
      <c r="T41" s="7">
        <v>40519</v>
      </c>
      <c r="U41" s="4"/>
      <c r="V41" s="4">
        <f>T41+120</f>
        <v>40639</v>
      </c>
      <c r="W41" s="18">
        <f>V41+365</f>
        <v>41004</v>
      </c>
      <c r="X41" s="12"/>
    </row>
    <row r="42" spans="1:25" ht="13.5" customHeight="1" x14ac:dyDescent="0.3">
      <c r="A42" s="680"/>
      <c r="B42" s="689"/>
      <c r="C42" s="666"/>
      <c r="D42" s="666"/>
      <c r="E42" s="666"/>
      <c r="F42" s="692"/>
      <c r="G42" s="666"/>
      <c r="H42" s="666"/>
      <c r="I42" s="6" t="s">
        <v>44</v>
      </c>
      <c r="J42" s="7">
        <v>40563</v>
      </c>
      <c r="K42" s="7">
        <v>40568</v>
      </c>
      <c r="L42" s="11"/>
      <c r="M42" s="15">
        <v>40668</v>
      </c>
      <c r="N42" s="7">
        <v>40690</v>
      </c>
      <c r="O42" s="7">
        <v>40756</v>
      </c>
      <c r="P42" s="4">
        <v>40765</v>
      </c>
      <c r="Q42" s="6" t="s">
        <v>44</v>
      </c>
      <c r="R42" s="14">
        <f>3591553.5/S2</f>
        <v>207007.15854270052</v>
      </c>
      <c r="S42" s="32" t="s">
        <v>126</v>
      </c>
      <c r="T42" s="32" t="s">
        <v>127</v>
      </c>
      <c r="U42" s="11"/>
      <c r="V42" s="4">
        <v>40714</v>
      </c>
      <c r="W42" s="18">
        <f>V42+365</f>
        <v>41079</v>
      </c>
      <c r="X42" s="12"/>
    </row>
    <row r="43" spans="1:25" ht="13.5" customHeight="1" x14ac:dyDescent="0.3">
      <c r="A43" s="681"/>
      <c r="B43" s="690"/>
      <c r="C43" s="667"/>
      <c r="D43" s="667"/>
      <c r="E43" s="667"/>
      <c r="F43" s="693"/>
      <c r="G43" s="667"/>
      <c r="H43" s="667"/>
      <c r="I43" s="310"/>
      <c r="J43" s="311"/>
      <c r="K43" s="311"/>
      <c r="L43" s="312"/>
      <c r="M43" s="313"/>
      <c r="N43" s="311"/>
      <c r="O43" s="311"/>
      <c r="P43" s="311"/>
      <c r="Q43" s="310"/>
      <c r="R43" s="314"/>
      <c r="S43" s="315"/>
      <c r="T43" s="311"/>
      <c r="U43" s="315"/>
      <c r="V43" s="316"/>
      <c r="W43" s="316"/>
      <c r="X43" s="317"/>
    </row>
    <row r="44" spans="1:25" ht="13.5" customHeight="1" x14ac:dyDescent="0.3">
      <c r="A44" s="679" t="s">
        <v>128</v>
      </c>
      <c r="B44" s="688" t="s">
        <v>129</v>
      </c>
      <c r="C44" s="665"/>
      <c r="D44" s="665" t="s">
        <v>93</v>
      </c>
      <c r="E44" s="665" t="s">
        <v>40</v>
      </c>
      <c r="F44" s="691">
        <f>420000*9/S2</f>
        <v>217868.69088582642</v>
      </c>
      <c r="G44" s="665" t="s">
        <v>94</v>
      </c>
      <c r="H44" s="665" t="s">
        <v>94</v>
      </c>
      <c r="I44" s="6" t="s">
        <v>43</v>
      </c>
      <c r="J44" s="7">
        <v>40420</v>
      </c>
      <c r="K44" s="7">
        <v>40436</v>
      </c>
      <c r="L44" s="7"/>
      <c r="M44" s="9">
        <v>40446</v>
      </c>
      <c r="N44" s="7">
        <v>40476</v>
      </c>
      <c r="O44" s="13">
        <v>40492</v>
      </c>
      <c r="P44" s="7">
        <v>40507</v>
      </c>
      <c r="Q44" s="6" t="s">
        <v>43</v>
      </c>
      <c r="R44" s="14"/>
      <c r="S44" s="7">
        <v>40512</v>
      </c>
      <c r="T44" s="7">
        <v>40519</v>
      </c>
      <c r="U44" s="4"/>
      <c r="V44" s="4">
        <v>40701</v>
      </c>
      <c r="W44" s="4">
        <f>V44+365</f>
        <v>41066</v>
      </c>
      <c r="X44" s="12"/>
    </row>
    <row r="45" spans="1:25" ht="13.5" customHeight="1" x14ac:dyDescent="0.3">
      <c r="A45" s="680"/>
      <c r="B45" s="689"/>
      <c r="C45" s="666"/>
      <c r="D45" s="666"/>
      <c r="E45" s="666"/>
      <c r="F45" s="692"/>
      <c r="G45" s="666"/>
      <c r="H45" s="666"/>
      <c r="I45" s="6" t="s">
        <v>44</v>
      </c>
      <c r="J45" s="7">
        <v>40563</v>
      </c>
      <c r="K45" s="7">
        <v>40568</v>
      </c>
      <c r="L45" s="11"/>
      <c r="M45" s="15">
        <v>40586</v>
      </c>
      <c r="N45" s="7">
        <v>40616</v>
      </c>
      <c r="O45" s="7">
        <v>40632</v>
      </c>
      <c r="P45" s="4">
        <f>O45+1</f>
        <v>40633</v>
      </c>
      <c r="Q45" s="6" t="s">
        <v>44</v>
      </c>
      <c r="R45" s="14">
        <f>(6097432.25+420000)/S2</f>
        <v>375646.67519697518</v>
      </c>
      <c r="S45" s="151" t="s">
        <v>114</v>
      </c>
      <c r="T45" s="151" t="s">
        <v>115</v>
      </c>
      <c r="U45" s="11"/>
      <c r="V45" s="19">
        <f>T45+120</f>
        <v>40842</v>
      </c>
      <c r="W45" s="4">
        <f>V45+365</f>
        <v>41207</v>
      </c>
      <c r="X45" s="12"/>
    </row>
    <row r="46" spans="1:25" ht="13.5" customHeight="1" x14ac:dyDescent="0.3">
      <c r="A46" s="681"/>
      <c r="B46" s="690"/>
      <c r="C46" s="667"/>
      <c r="D46" s="667"/>
      <c r="E46" s="667"/>
      <c r="F46" s="693"/>
      <c r="G46" s="667"/>
      <c r="H46" s="667"/>
      <c r="I46" s="310"/>
      <c r="J46" s="311"/>
      <c r="K46" s="311"/>
      <c r="L46" s="312"/>
      <c r="M46" s="313"/>
      <c r="N46" s="311"/>
      <c r="O46" s="311"/>
      <c r="P46" s="311"/>
      <c r="Q46" s="310"/>
      <c r="R46" s="314"/>
      <c r="S46" s="315"/>
      <c r="T46" s="311"/>
      <c r="U46" s="315"/>
      <c r="V46" s="316"/>
      <c r="W46" s="316"/>
      <c r="X46" s="317"/>
    </row>
    <row r="47" spans="1:25" ht="13.5" customHeight="1" x14ac:dyDescent="0.3">
      <c r="A47" s="679" t="s">
        <v>130</v>
      </c>
      <c r="B47" s="688" t="s">
        <v>131</v>
      </c>
      <c r="C47" s="665"/>
      <c r="D47" s="665" t="s">
        <v>93</v>
      </c>
      <c r="E47" s="665" t="s">
        <v>40</v>
      </c>
      <c r="F47" s="691">
        <f>((420000*4))/S2</f>
        <v>96830.529282589516</v>
      </c>
      <c r="G47" s="665" t="s">
        <v>94</v>
      </c>
      <c r="H47" s="665" t="s">
        <v>94</v>
      </c>
      <c r="I47" s="6" t="s">
        <v>43</v>
      </c>
      <c r="J47" s="19">
        <v>40420</v>
      </c>
      <c r="K47" s="19">
        <v>40436</v>
      </c>
      <c r="L47" s="7"/>
      <c r="M47" s="9">
        <v>40446</v>
      </c>
      <c r="N47" s="7">
        <v>40476</v>
      </c>
      <c r="O47" s="13">
        <v>40492</v>
      </c>
      <c r="P47" s="7">
        <v>40507</v>
      </c>
      <c r="Q47" s="6" t="s">
        <v>43</v>
      </c>
      <c r="R47" s="14"/>
      <c r="S47" s="7">
        <v>40512</v>
      </c>
      <c r="T47" s="7">
        <v>40519</v>
      </c>
      <c r="U47" s="4"/>
      <c r="V47" s="4">
        <v>40762</v>
      </c>
      <c r="W47" s="4">
        <f>V47+365</f>
        <v>41127</v>
      </c>
      <c r="X47" s="12"/>
    </row>
    <row r="48" spans="1:25" x14ac:dyDescent="0.3">
      <c r="A48" s="680"/>
      <c r="B48" s="689"/>
      <c r="C48" s="666"/>
      <c r="D48" s="666"/>
      <c r="E48" s="666"/>
      <c r="F48" s="692"/>
      <c r="G48" s="666"/>
      <c r="H48" s="666"/>
      <c r="I48" s="6" t="s">
        <v>44</v>
      </c>
      <c r="J48" s="151" t="s">
        <v>132</v>
      </c>
      <c r="K48" s="151" t="s">
        <v>133</v>
      </c>
      <c r="L48" s="11"/>
      <c r="M48" s="15" t="s">
        <v>134</v>
      </c>
      <c r="N48" s="7" t="s">
        <v>135</v>
      </c>
      <c r="O48" s="7">
        <v>40913</v>
      </c>
      <c r="P48" s="4">
        <v>40916</v>
      </c>
      <c r="Q48" s="6" t="s">
        <v>44</v>
      </c>
      <c r="R48" s="14">
        <f>3606095/S2</f>
        <v>207845.29017458312</v>
      </c>
      <c r="S48" s="7" t="s">
        <v>136</v>
      </c>
      <c r="T48" s="7">
        <f>S48+10</f>
        <v>40952</v>
      </c>
      <c r="U48" s="7"/>
      <c r="V48" s="7">
        <f>T48+120</f>
        <v>41072</v>
      </c>
      <c r="W48" s="7">
        <f>V48+365</f>
        <v>41437</v>
      </c>
      <c r="X48" s="152"/>
    </row>
    <row r="49" spans="1:25" ht="15.75" customHeight="1" x14ac:dyDescent="0.3">
      <c r="A49" s="681"/>
      <c r="B49" s="690"/>
      <c r="C49" s="667"/>
      <c r="D49" s="667"/>
      <c r="E49" s="667"/>
      <c r="F49" s="693"/>
      <c r="G49" s="667"/>
      <c r="H49" s="667"/>
      <c r="I49" s="310"/>
      <c r="J49" s="311"/>
      <c r="K49" s="311"/>
      <c r="L49" s="312"/>
      <c r="M49" s="313"/>
      <c r="N49" s="311"/>
      <c r="O49" s="311"/>
      <c r="P49" s="311"/>
      <c r="Q49" s="310"/>
      <c r="R49" s="314"/>
      <c r="S49" s="315"/>
      <c r="T49" s="311"/>
      <c r="U49" s="315"/>
      <c r="V49" s="316"/>
      <c r="W49" s="316"/>
      <c r="X49" s="317"/>
    </row>
    <row r="50" spans="1:25" ht="15.6" x14ac:dyDescent="0.3">
      <c r="A50" s="707" t="s">
        <v>137</v>
      </c>
      <c r="B50" s="708"/>
      <c r="C50" s="387"/>
      <c r="D50" s="388"/>
      <c r="E50" s="388"/>
      <c r="F50" s="388"/>
      <c r="G50" s="388"/>
      <c r="H50" s="388"/>
      <c r="I50" s="388"/>
      <c r="J50" s="389"/>
      <c r="K50" s="389"/>
      <c r="L50" s="389"/>
      <c r="M50" s="389"/>
      <c r="N50" s="390"/>
      <c r="O50" s="389"/>
      <c r="P50" s="389"/>
      <c r="Q50" s="388"/>
      <c r="R50" s="389"/>
      <c r="S50" s="389"/>
      <c r="T50" s="391"/>
      <c r="U50" s="388"/>
      <c r="V50" s="388"/>
      <c r="W50" s="388"/>
      <c r="X50" s="392"/>
    </row>
    <row r="51" spans="1:25" x14ac:dyDescent="0.3">
      <c r="A51" s="676" t="s">
        <v>138</v>
      </c>
      <c r="B51" s="677" t="s">
        <v>139</v>
      </c>
      <c r="C51" s="668"/>
      <c r="D51" s="671" t="s">
        <v>93</v>
      </c>
      <c r="E51" s="671" t="s">
        <v>40</v>
      </c>
      <c r="F51" s="678">
        <f>420000*4/S2</f>
        <v>96830.529282589516</v>
      </c>
      <c r="G51" s="671" t="s">
        <v>94</v>
      </c>
      <c r="H51" s="671" t="s">
        <v>94</v>
      </c>
      <c r="I51" s="6" t="s">
        <v>43</v>
      </c>
      <c r="J51" s="7">
        <v>41014</v>
      </c>
      <c r="K51" s="7">
        <f>J51+1</f>
        <v>41015</v>
      </c>
      <c r="L51" s="7"/>
      <c r="M51" s="190">
        <f>K51+4</f>
        <v>41019</v>
      </c>
      <c r="N51" s="154">
        <f>M51+35</f>
        <v>41054</v>
      </c>
      <c r="O51" s="191">
        <f>N51+7</f>
        <v>41061</v>
      </c>
      <c r="P51" s="154">
        <f>O51+1</f>
        <v>41062</v>
      </c>
      <c r="Q51" s="192" t="s">
        <v>43</v>
      </c>
      <c r="R51" s="193"/>
      <c r="S51" s="154">
        <f>P51+5</f>
        <v>41067</v>
      </c>
      <c r="T51" s="154">
        <f>S51+10</f>
        <v>41077</v>
      </c>
      <c r="U51" s="16"/>
      <c r="V51" s="16">
        <f>T51+120</f>
        <v>41197</v>
      </c>
      <c r="W51" s="194">
        <f>V51+365</f>
        <v>41562</v>
      </c>
      <c r="X51" s="149"/>
    </row>
    <row r="52" spans="1:25" x14ac:dyDescent="0.3">
      <c r="A52" s="676"/>
      <c r="B52" s="677"/>
      <c r="C52" s="669"/>
      <c r="D52" s="671"/>
      <c r="E52" s="671"/>
      <c r="F52" s="678"/>
      <c r="G52" s="671"/>
      <c r="H52" s="671"/>
      <c r="I52" s="6" t="s">
        <v>50</v>
      </c>
      <c r="J52" s="151" t="s">
        <v>132</v>
      </c>
      <c r="K52" s="151" t="s">
        <v>133</v>
      </c>
      <c r="L52" s="7"/>
      <c r="M52" s="190">
        <v>41131</v>
      </c>
      <c r="N52" s="154">
        <f>M52+30</f>
        <v>41161</v>
      </c>
      <c r="O52" s="191">
        <f>N52+20</f>
        <v>41181</v>
      </c>
      <c r="P52" s="154">
        <f>O52+5</f>
        <v>41186</v>
      </c>
      <c r="Q52" s="192"/>
      <c r="R52" s="193"/>
      <c r="S52" s="154">
        <f>P52+7</f>
        <v>41193</v>
      </c>
      <c r="T52" s="154">
        <f>S52+10</f>
        <v>41203</v>
      </c>
      <c r="U52" s="16"/>
      <c r="V52" s="16">
        <f>T52+90</f>
        <v>41293</v>
      </c>
      <c r="W52" s="7">
        <f>V52+365</f>
        <v>41658</v>
      </c>
      <c r="X52" s="149"/>
    </row>
    <row r="53" spans="1:25" x14ac:dyDescent="0.3">
      <c r="A53" s="676"/>
      <c r="B53" s="677"/>
      <c r="C53" s="670"/>
      <c r="D53" s="671"/>
      <c r="E53" s="671"/>
      <c r="F53" s="678"/>
      <c r="G53" s="671"/>
      <c r="H53" s="671"/>
      <c r="I53" s="6" t="s">
        <v>44</v>
      </c>
      <c r="J53" s="3"/>
      <c r="K53" s="3"/>
      <c r="L53" s="3"/>
      <c r="M53" s="146"/>
      <c r="N53" s="3"/>
      <c r="O53" s="3"/>
      <c r="P53" s="147"/>
      <c r="Q53" s="3"/>
      <c r="R53" s="148"/>
      <c r="S53" s="3"/>
      <c r="T53" s="3"/>
      <c r="U53" s="3"/>
      <c r="V53" s="4"/>
      <c r="W53" s="147"/>
      <c r="X53" s="149"/>
    </row>
    <row r="54" spans="1:25" ht="8.25" customHeight="1" x14ac:dyDescent="0.3">
      <c r="A54" s="5"/>
      <c r="B54" s="56"/>
      <c r="C54" s="55"/>
      <c r="D54" s="55"/>
      <c r="E54" s="55"/>
      <c r="F54" s="57"/>
      <c r="G54" s="55"/>
      <c r="H54" s="55"/>
      <c r="I54" s="310"/>
      <c r="J54" s="311"/>
      <c r="K54" s="311"/>
      <c r="L54" s="312"/>
      <c r="M54" s="313"/>
      <c r="N54" s="311"/>
      <c r="O54" s="311"/>
      <c r="P54" s="311"/>
      <c r="Q54" s="310"/>
      <c r="R54" s="314"/>
      <c r="S54" s="315"/>
      <c r="T54" s="311"/>
      <c r="U54" s="315"/>
      <c r="V54" s="316"/>
      <c r="W54" s="316"/>
      <c r="X54" s="317"/>
    </row>
    <row r="55" spans="1:25" ht="13.5" customHeight="1" x14ac:dyDescent="0.3">
      <c r="A55" s="694" t="s">
        <v>140</v>
      </c>
      <c r="B55" s="695"/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696"/>
      <c r="Y55" s="17"/>
    </row>
    <row r="56" spans="1:25" ht="13.5" customHeight="1" x14ac:dyDescent="0.3">
      <c r="A56" s="707" t="s">
        <v>141</v>
      </c>
      <c r="B56" s="708"/>
      <c r="C56" s="387"/>
      <c r="D56" s="388"/>
      <c r="E56" s="388"/>
      <c r="F56" s="388"/>
      <c r="G56" s="388"/>
      <c r="H56" s="388"/>
      <c r="I56" s="388"/>
      <c r="J56" s="389"/>
      <c r="K56" s="389"/>
      <c r="L56" s="389"/>
      <c r="M56" s="389"/>
      <c r="N56" s="390"/>
      <c r="O56" s="389"/>
      <c r="P56" s="389"/>
      <c r="Q56" s="388"/>
      <c r="R56" s="389"/>
      <c r="S56" s="389"/>
      <c r="T56" s="391"/>
      <c r="U56" s="388"/>
      <c r="V56" s="388"/>
      <c r="W56" s="388"/>
      <c r="X56" s="392"/>
      <c r="Y56" s="17"/>
    </row>
    <row r="57" spans="1:25" ht="13.5" customHeight="1" x14ac:dyDescent="0.3">
      <c r="A57" s="676" t="s">
        <v>142</v>
      </c>
      <c r="B57" s="677" t="s">
        <v>143</v>
      </c>
      <c r="C57" s="668"/>
      <c r="D57" s="671" t="s">
        <v>93</v>
      </c>
      <c r="E57" s="671" t="s">
        <v>40</v>
      </c>
      <c r="F57" s="678">
        <f>78000*10/S2</f>
        <v>44957.031452630843</v>
      </c>
      <c r="G57" s="671" t="s">
        <v>94</v>
      </c>
      <c r="H57" s="671" t="s">
        <v>94</v>
      </c>
      <c r="I57" s="6" t="s">
        <v>43</v>
      </c>
      <c r="J57" s="19">
        <v>40420</v>
      </c>
      <c r="K57" s="19">
        <v>40436</v>
      </c>
      <c r="L57" s="20"/>
      <c r="M57" s="15">
        <v>40456</v>
      </c>
      <c r="N57" s="7">
        <v>40487</v>
      </c>
      <c r="O57" s="13">
        <v>40497</v>
      </c>
      <c r="P57" s="7">
        <v>40517</v>
      </c>
      <c r="Q57" s="6" t="s">
        <v>43</v>
      </c>
      <c r="R57" s="14"/>
      <c r="S57" s="7">
        <v>40522</v>
      </c>
      <c r="T57" s="7">
        <v>40532</v>
      </c>
      <c r="U57" s="4"/>
      <c r="V57" s="4">
        <v>40714</v>
      </c>
      <c r="W57" s="4">
        <f>V57+365</f>
        <v>41079</v>
      </c>
      <c r="X57" s="12"/>
    </row>
    <row r="58" spans="1:25" ht="13.5" customHeight="1" x14ac:dyDescent="0.3">
      <c r="A58" s="676"/>
      <c r="B58" s="677"/>
      <c r="C58" s="669"/>
      <c r="D58" s="671"/>
      <c r="E58" s="671"/>
      <c r="F58" s="678"/>
      <c r="G58" s="671"/>
      <c r="H58" s="671"/>
      <c r="I58" s="6" t="s">
        <v>44</v>
      </c>
      <c r="J58" s="19">
        <v>40379</v>
      </c>
      <c r="K58" s="19">
        <v>40384</v>
      </c>
      <c r="L58" s="8"/>
      <c r="M58" s="15">
        <v>40416</v>
      </c>
      <c r="N58" s="7">
        <v>40477</v>
      </c>
      <c r="O58" s="13">
        <v>40492</v>
      </c>
      <c r="P58" s="7">
        <v>40497</v>
      </c>
      <c r="Q58" s="6" t="s">
        <v>44</v>
      </c>
      <c r="R58" s="14">
        <f>((820548/9)*10)/16.91</f>
        <v>53916.026020106445</v>
      </c>
      <c r="S58" s="7">
        <v>40518</v>
      </c>
      <c r="T58" s="7">
        <v>40529</v>
      </c>
      <c r="U58" s="11"/>
      <c r="V58" s="4">
        <v>40827</v>
      </c>
      <c r="W58" s="4">
        <f>V58+365</f>
        <v>41192</v>
      </c>
      <c r="X58" s="12"/>
    </row>
    <row r="59" spans="1:25" ht="13.5" customHeight="1" x14ac:dyDescent="0.3">
      <c r="A59" s="676"/>
      <c r="B59" s="677"/>
      <c r="C59" s="670"/>
      <c r="D59" s="671"/>
      <c r="E59" s="671"/>
      <c r="F59" s="678"/>
      <c r="G59" s="671"/>
      <c r="H59" s="671"/>
      <c r="I59" s="310"/>
      <c r="J59" s="311"/>
      <c r="K59" s="311"/>
      <c r="L59" s="312"/>
      <c r="M59" s="313"/>
      <c r="N59" s="311"/>
      <c r="O59" s="311"/>
      <c r="P59" s="311"/>
      <c r="Q59" s="310"/>
      <c r="R59" s="314"/>
      <c r="S59" s="315"/>
      <c r="T59" s="311"/>
      <c r="U59" s="315"/>
      <c r="V59" s="316"/>
      <c r="W59" s="316"/>
      <c r="X59" s="317"/>
    </row>
    <row r="60" spans="1:25" ht="13.5" customHeight="1" x14ac:dyDescent="0.3">
      <c r="A60" s="676" t="s">
        <v>144</v>
      </c>
      <c r="B60" s="677" t="s">
        <v>145</v>
      </c>
      <c r="C60" s="668"/>
      <c r="D60" s="671" t="s">
        <v>93</v>
      </c>
      <c r="E60" s="671" t="s">
        <v>40</v>
      </c>
      <c r="F60" s="678">
        <f>78000*12/13.54</f>
        <v>69128.50812407682</v>
      </c>
      <c r="G60" s="671" t="s">
        <v>94</v>
      </c>
      <c r="H60" s="671" t="s">
        <v>94</v>
      </c>
      <c r="I60" s="6" t="s">
        <v>43</v>
      </c>
      <c r="J60" s="19">
        <v>40420</v>
      </c>
      <c r="K60" s="19">
        <v>40436</v>
      </c>
      <c r="L60" s="20"/>
      <c r="M60" s="15">
        <v>40456</v>
      </c>
      <c r="N60" s="7">
        <v>40487</v>
      </c>
      <c r="O60" s="13">
        <v>40497</v>
      </c>
      <c r="P60" s="7">
        <v>40517</v>
      </c>
      <c r="Q60" s="6" t="s">
        <v>43</v>
      </c>
      <c r="R60" s="14"/>
      <c r="S60" s="7">
        <v>40512</v>
      </c>
      <c r="T60" s="7">
        <v>40519</v>
      </c>
      <c r="U60" s="4"/>
      <c r="V60" s="4">
        <v>40701</v>
      </c>
      <c r="W60" s="4">
        <f>V60+365</f>
        <v>41066</v>
      </c>
      <c r="X60" s="12"/>
    </row>
    <row r="61" spans="1:25" ht="13.5" customHeight="1" x14ac:dyDescent="0.3">
      <c r="A61" s="676"/>
      <c r="B61" s="677"/>
      <c r="C61" s="669"/>
      <c r="D61" s="671"/>
      <c r="E61" s="671"/>
      <c r="F61" s="678"/>
      <c r="G61" s="671"/>
      <c r="H61" s="671"/>
      <c r="I61" s="6" t="s">
        <v>44</v>
      </c>
      <c r="J61" s="19">
        <v>40379</v>
      </c>
      <c r="K61" s="19">
        <v>40384</v>
      </c>
      <c r="L61" s="8"/>
      <c r="M61" s="15">
        <v>40416</v>
      </c>
      <c r="N61" s="7">
        <v>40477</v>
      </c>
      <c r="O61" s="13">
        <v>40492</v>
      </c>
      <c r="P61" s="7">
        <v>40497</v>
      </c>
      <c r="Q61" s="6" t="s">
        <v>44</v>
      </c>
      <c r="R61" s="14">
        <f>1209501/S2</f>
        <v>69712.274998703157</v>
      </c>
      <c r="S61" s="7">
        <v>40518</v>
      </c>
      <c r="T61" s="7">
        <v>40541</v>
      </c>
      <c r="U61" s="11"/>
      <c r="V61" s="4">
        <v>40739</v>
      </c>
      <c r="W61" s="4">
        <f>V61+365</f>
        <v>41104</v>
      </c>
      <c r="X61" s="12"/>
    </row>
    <row r="62" spans="1:25" ht="13.5" customHeight="1" x14ac:dyDescent="0.3">
      <c r="A62" s="676"/>
      <c r="B62" s="677"/>
      <c r="C62" s="670"/>
      <c r="D62" s="671"/>
      <c r="E62" s="671"/>
      <c r="F62" s="678"/>
      <c r="G62" s="671"/>
      <c r="H62" s="671"/>
      <c r="I62" s="310"/>
      <c r="J62" s="311"/>
      <c r="K62" s="311"/>
      <c r="L62" s="312"/>
      <c r="M62" s="313"/>
      <c r="N62" s="311"/>
      <c r="O62" s="311"/>
      <c r="P62" s="311"/>
      <c r="Q62" s="310"/>
      <c r="R62" s="314"/>
      <c r="S62" s="315"/>
      <c r="T62" s="311"/>
      <c r="U62" s="315"/>
      <c r="V62" s="316"/>
      <c r="W62" s="316"/>
      <c r="X62" s="317"/>
    </row>
    <row r="63" spans="1:25" ht="13.5" customHeight="1" x14ac:dyDescent="0.3">
      <c r="A63" s="676" t="s">
        <v>146</v>
      </c>
      <c r="B63" s="677" t="s">
        <v>147</v>
      </c>
      <c r="C63" s="668"/>
      <c r="D63" s="671" t="s">
        <v>93</v>
      </c>
      <c r="E63" s="671" t="s">
        <v>40</v>
      </c>
      <c r="F63" s="678">
        <f>78000*9/S2</f>
        <v>40461.328307367759</v>
      </c>
      <c r="G63" s="671" t="s">
        <v>94</v>
      </c>
      <c r="H63" s="671" t="s">
        <v>94</v>
      </c>
      <c r="I63" s="6" t="s">
        <v>43</v>
      </c>
      <c r="J63" s="19">
        <v>40420</v>
      </c>
      <c r="K63" s="19">
        <v>40436</v>
      </c>
      <c r="L63" s="20"/>
      <c r="M63" s="15">
        <v>40456</v>
      </c>
      <c r="N63" s="7">
        <v>40487</v>
      </c>
      <c r="O63" s="13">
        <v>40497</v>
      </c>
      <c r="P63" s="7">
        <v>40517</v>
      </c>
      <c r="Q63" s="6" t="s">
        <v>43</v>
      </c>
      <c r="R63" s="14"/>
      <c r="S63" s="7">
        <v>40512</v>
      </c>
      <c r="T63" s="7">
        <v>40519</v>
      </c>
      <c r="U63" s="4"/>
      <c r="V63" s="4">
        <v>40701</v>
      </c>
      <c r="W63" s="4">
        <f>V63+365</f>
        <v>41066</v>
      </c>
      <c r="X63" s="12"/>
    </row>
    <row r="64" spans="1:25" ht="13.5" customHeight="1" x14ac:dyDescent="0.3">
      <c r="A64" s="676"/>
      <c r="B64" s="677"/>
      <c r="C64" s="669"/>
      <c r="D64" s="671"/>
      <c r="E64" s="671"/>
      <c r="F64" s="678"/>
      <c r="G64" s="671"/>
      <c r="H64" s="671"/>
      <c r="I64" s="6" t="s">
        <v>44</v>
      </c>
      <c r="J64" s="19">
        <v>40379</v>
      </c>
      <c r="K64" s="19">
        <v>40384</v>
      </c>
      <c r="L64" s="8"/>
      <c r="M64" s="15">
        <v>40416</v>
      </c>
      <c r="N64" s="7">
        <v>40477</v>
      </c>
      <c r="O64" s="13">
        <v>40492</v>
      </c>
      <c r="P64" s="7">
        <v>40497</v>
      </c>
      <c r="Q64" s="6" t="s">
        <v>44</v>
      </c>
      <c r="R64" s="14">
        <f>1016431.75/S2</f>
        <v>58584.300197695658</v>
      </c>
      <c r="S64" s="7">
        <v>40518</v>
      </c>
      <c r="T64" s="7">
        <v>40543</v>
      </c>
      <c r="U64" s="11"/>
      <c r="V64" s="4">
        <v>40837</v>
      </c>
      <c r="W64" s="4">
        <f>V64+365</f>
        <v>41202</v>
      </c>
      <c r="X64" s="12"/>
    </row>
    <row r="65" spans="1:24" ht="13.5" customHeight="1" x14ac:dyDescent="0.3">
      <c r="A65" s="676"/>
      <c r="B65" s="677"/>
      <c r="C65" s="670"/>
      <c r="D65" s="671"/>
      <c r="E65" s="671"/>
      <c r="F65" s="678"/>
      <c r="G65" s="671"/>
      <c r="H65" s="671"/>
      <c r="I65" s="310"/>
      <c r="J65" s="311"/>
      <c r="K65" s="311"/>
      <c r="L65" s="312"/>
      <c r="M65" s="313"/>
      <c r="N65" s="311"/>
      <c r="O65" s="311"/>
      <c r="P65" s="311"/>
      <c r="Q65" s="310"/>
      <c r="R65" s="314"/>
      <c r="S65" s="315"/>
      <c r="T65" s="311"/>
      <c r="U65" s="315"/>
      <c r="V65" s="316"/>
      <c r="W65" s="316"/>
      <c r="X65" s="317"/>
    </row>
    <row r="66" spans="1:24" ht="13.5" customHeight="1" x14ac:dyDescent="0.3">
      <c r="A66" s="676" t="s">
        <v>148</v>
      </c>
      <c r="B66" s="677" t="s">
        <v>149</v>
      </c>
      <c r="C66" s="668"/>
      <c r="D66" s="671" t="s">
        <v>93</v>
      </c>
      <c r="E66" s="671" t="s">
        <v>40</v>
      </c>
      <c r="F66" s="678">
        <v>35672</v>
      </c>
      <c r="G66" s="671" t="s">
        <v>94</v>
      </c>
      <c r="H66" s="671" t="s">
        <v>94</v>
      </c>
      <c r="I66" s="6" t="s">
        <v>43</v>
      </c>
      <c r="J66" s="7">
        <f>K66-8</f>
        <v>39887</v>
      </c>
      <c r="K66" s="7">
        <f>M66-10</f>
        <v>39895</v>
      </c>
      <c r="L66" s="7"/>
      <c r="M66" s="9">
        <v>39905</v>
      </c>
      <c r="N66" s="7">
        <v>39950</v>
      </c>
      <c r="O66" s="7">
        <v>39985</v>
      </c>
      <c r="P66" s="4">
        <f>O66+1</f>
        <v>39986</v>
      </c>
      <c r="Q66" s="6" t="s">
        <v>43</v>
      </c>
      <c r="R66" s="14"/>
      <c r="S66" s="7">
        <v>40014</v>
      </c>
      <c r="T66" s="7">
        <v>40021</v>
      </c>
      <c r="U66" s="4"/>
      <c r="V66" s="4">
        <v>40071</v>
      </c>
      <c r="W66" s="4">
        <f>V66+365</f>
        <v>40436</v>
      </c>
      <c r="X66" s="12"/>
    </row>
    <row r="67" spans="1:24" ht="13.5" customHeight="1" x14ac:dyDescent="0.3">
      <c r="A67" s="676"/>
      <c r="B67" s="677"/>
      <c r="C67" s="669"/>
      <c r="D67" s="671"/>
      <c r="E67" s="671"/>
      <c r="F67" s="678"/>
      <c r="G67" s="671"/>
      <c r="H67" s="671"/>
      <c r="I67" s="6" t="s">
        <v>44</v>
      </c>
      <c r="J67" s="7">
        <v>39855</v>
      </c>
      <c r="K67" s="7">
        <v>39863</v>
      </c>
      <c r="L67" s="11"/>
      <c r="M67" s="15">
        <v>39873</v>
      </c>
      <c r="N67" s="7">
        <v>39902</v>
      </c>
      <c r="O67" s="13">
        <v>39938</v>
      </c>
      <c r="P67" s="4">
        <v>39948</v>
      </c>
      <c r="Q67" s="6" t="s">
        <v>44</v>
      </c>
      <c r="R67" s="14">
        <f>424074/S2</f>
        <v>24442.446354157659</v>
      </c>
      <c r="S67" s="11" t="s">
        <v>150</v>
      </c>
      <c r="T67" s="7">
        <v>39973</v>
      </c>
      <c r="U67" s="11"/>
      <c r="V67" s="4">
        <v>40004</v>
      </c>
      <c r="W67" s="4">
        <f>V67+365</f>
        <v>40369</v>
      </c>
      <c r="X67" s="12"/>
    </row>
    <row r="68" spans="1:24" ht="13.5" customHeight="1" x14ac:dyDescent="0.3">
      <c r="A68" s="676"/>
      <c r="B68" s="677"/>
      <c r="C68" s="670"/>
      <c r="D68" s="671"/>
      <c r="E68" s="671"/>
      <c r="F68" s="678"/>
      <c r="G68" s="671"/>
      <c r="H68" s="671"/>
      <c r="I68" s="310"/>
      <c r="J68" s="311"/>
      <c r="K68" s="311"/>
      <c r="L68" s="312"/>
      <c r="M68" s="313"/>
      <c r="N68" s="311"/>
      <c r="O68" s="311"/>
      <c r="P68" s="311"/>
      <c r="Q68" s="310"/>
      <c r="R68" s="314"/>
      <c r="S68" s="315"/>
      <c r="T68" s="311"/>
      <c r="U68" s="315"/>
      <c r="V68" s="316"/>
      <c r="W68" s="316"/>
      <c r="X68" s="317"/>
    </row>
    <row r="69" spans="1:24" ht="13.5" customHeight="1" x14ac:dyDescent="0.3">
      <c r="A69" s="676" t="s">
        <v>151</v>
      </c>
      <c r="B69" s="677" t="s">
        <v>152</v>
      </c>
      <c r="C69" s="668"/>
      <c r="D69" s="671" t="s">
        <v>93</v>
      </c>
      <c r="E69" s="671" t="s">
        <v>40</v>
      </c>
      <c r="F69" s="678">
        <f>78000*18/S2</f>
        <v>80922.656614735519</v>
      </c>
      <c r="G69" s="671" t="s">
        <v>94</v>
      </c>
      <c r="H69" s="671" t="s">
        <v>94</v>
      </c>
      <c r="I69" s="6" t="s">
        <v>43</v>
      </c>
      <c r="J69" s="19">
        <v>40420</v>
      </c>
      <c r="K69" s="19">
        <v>40436</v>
      </c>
      <c r="L69" s="7"/>
      <c r="M69" s="9">
        <v>40446</v>
      </c>
      <c r="N69" s="7">
        <v>40476</v>
      </c>
      <c r="O69" s="13">
        <v>40492</v>
      </c>
      <c r="P69" s="7">
        <v>40507</v>
      </c>
      <c r="Q69" s="6" t="s">
        <v>43</v>
      </c>
      <c r="R69" s="14"/>
      <c r="S69" s="7">
        <v>40512</v>
      </c>
      <c r="T69" s="7">
        <v>40519</v>
      </c>
      <c r="U69" s="4"/>
      <c r="V69" s="4">
        <v>40701</v>
      </c>
      <c r="W69" s="4">
        <f>V69+365</f>
        <v>41066</v>
      </c>
      <c r="X69" s="12"/>
    </row>
    <row r="70" spans="1:24" ht="13.5" customHeight="1" x14ac:dyDescent="0.3">
      <c r="A70" s="676"/>
      <c r="B70" s="677"/>
      <c r="C70" s="669"/>
      <c r="D70" s="671"/>
      <c r="E70" s="671"/>
      <c r="F70" s="678"/>
      <c r="G70" s="671"/>
      <c r="H70" s="671"/>
      <c r="I70" s="6" t="s">
        <v>44</v>
      </c>
      <c r="J70" s="19">
        <v>40563</v>
      </c>
      <c r="K70" s="19">
        <v>40568</v>
      </c>
      <c r="L70" s="11"/>
      <c r="M70" s="15">
        <v>40586</v>
      </c>
      <c r="N70" s="7">
        <v>40616</v>
      </c>
      <c r="O70" s="13">
        <f>N70+O69-N69</f>
        <v>40632</v>
      </c>
      <c r="P70" s="4">
        <v>40653</v>
      </c>
      <c r="Q70" s="6" t="s">
        <v>44</v>
      </c>
      <c r="R70" s="14">
        <f>1729830/S2</f>
        <v>99702.591945774897</v>
      </c>
      <c r="S70" s="151" t="s">
        <v>153</v>
      </c>
      <c r="T70" s="151" t="s">
        <v>154</v>
      </c>
      <c r="U70" s="11"/>
      <c r="V70" s="4">
        <v>40852</v>
      </c>
      <c r="W70" s="4">
        <f>V70+365</f>
        <v>41217</v>
      </c>
      <c r="X70" s="12"/>
    </row>
    <row r="71" spans="1:24" ht="13.5" customHeight="1" x14ac:dyDescent="0.3">
      <c r="A71" s="676"/>
      <c r="B71" s="677"/>
      <c r="C71" s="670"/>
      <c r="D71" s="671"/>
      <c r="E71" s="671"/>
      <c r="F71" s="678"/>
      <c r="G71" s="671"/>
      <c r="H71" s="671"/>
      <c r="I71" s="310"/>
      <c r="J71" s="311"/>
      <c r="K71" s="311"/>
      <c r="L71" s="312"/>
      <c r="M71" s="313"/>
      <c r="N71" s="311"/>
      <c r="O71" s="311"/>
      <c r="P71" s="311"/>
      <c r="Q71" s="310"/>
      <c r="R71" s="314"/>
      <c r="S71" s="315"/>
      <c r="T71" s="311"/>
      <c r="U71" s="315"/>
      <c r="V71" s="316"/>
      <c r="W71" s="316"/>
      <c r="X71" s="317"/>
    </row>
    <row r="72" spans="1:24" ht="13.5" customHeight="1" x14ac:dyDescent="0.3">
      <c r="A72" s="676" t="s">
        <v>155</v>
      </c>
      <c r="B72" s="677" t="s">
        <v>156</v>
      </c>
      <c r="C72" s="668"/>
      <c r="D72" s="671" t="s">
        <v>93</v>
      </c>
      <c r="E72" s="671" t="s">
        <v>40</v>
      </c>
      <c r="F72" s="678">
        <f>78000*18/S2</f>
        <v>80922.656614735519</v>
      </c>
      <c r="G72" s="671" t="s">
        <v>94</v>
      </c>
      <c r="H72" s="671" t="s">
        <v>94</v>
      </c>
      <c r="I72" s="6" t="s">
        <v>43</v>
      </c>
      <c r="J72" s="19">
        <v>40420</v>
      </c>
      <c r="K72" s="19">
        <v>40436</v>
      </c>
      <c r="L72" s="7"/>
      <c r="M72" s="9">
        <v>40446</v>
      </c>
      <c r="N72" s="7">
        <v>40476</v>
      </c>
      <c r="O72" s="13">
        <v>40492</v>
      </c>
      <c r="P72" s="7">
        <v>40507</v>
      </c>
      <c r="Q72" s="6" t="s">
        <v>43</v>
      </c>
      <c r="R72" s="14"/>
      <c r="S72" s="7">
        <v>40512</v>
      </c>
      <c r="T72" s="29">
        <v>40519</v>
      </c>
      <c r="U72" s="4"/>
      <c r="V72" s="4">
        <v>40701</v>
      </c>
      <c r="W72" s="4">
        <f>V72+365</f>
        <v>41066</v>
      </c>
      <c r="X72" s="12"/>
    </row>
    <row r="73" spans="1:24" ht="13.5" customHeight="1" x14ac:dyDescent="0.3">
      <c r="A73" s="676"/>
      <c r="B73" s="677"/>
      <c r="C73" s="669"/>
      <c r="D73" s="671"/>
      <c r="E73" s="671"/>
      <c r="F73" s="678"/>
      <c r="G73" s="671"/>
      <c r="H73" s="671"/>
      <c r="I73" s="6" t="s">
        <v>44</v>
      </c>
      <c r="J73" s="19">
        <v>40563</v>
      </c>
      <c r="K73" s="19">
        <v>40568</v>
      </c>
      <c r="L73" s="11"/>
      <c r="M73" s="15">
        <v>40586</v>
      </c>
      <c r="N73" s="7">
        <v>40616</v>
      </c>
      <c r="O73" s="13">
        <f>N73+O72-N72</f>
        <v>40632</v>
      </c>
      <c r="P73" s="4">
        <v>40653</v>
      </c>
      <c r="Q73" s="6" t="s">
        <v>44</v>
      </c>
      <c r="R73" s="14">
        <f>1729830/S2</f>
        <v>99702.591945774897</v>
      </c>
      <c r="S73" s="151" t="s">
        <v>153</v>
      </c>
      <c r="T73" s="151" t="s">
        <v>154</v>
      </c>
      <c r="U73" s="11"/>
      <c r="V73" s="4">
        <v>40824</v>
      </c>
      <c r="W73" s="4">
        <f>V73+365</f>
        <v>41189</v>
      </c>
      <c r="X73" s="12"/>
    </row>
    <row r="74" spans="1:24" ht="13.5" customHeight="1" x14ac:dyDescent="0.3">
      <c r="A74" s="676"/>
      <c r="B74" s="677"/>
      <c r="C74" s="670"/>
      <c r="D74" s="671"/>
      <c r="E74" s="671"/>
      <c r="F74" s="678"/>
      <c r="G74" s="671"/>
      <c r="H74" s="671"/>
      <c r="I74" s="310"/>
      <c r="J74" s="311"/>
      <c r="K74" s="311"/>
      <c r="L74" s="312"/>
      <c r="M74" s="313"/>
      <c r="N74" s="311"/>
      <c r="O74" s="311"/>
      <c r="P74" s="311"/>
      <c r="Q74" s="310"/>
      <c r="R74" s="314"/>
      <c r="S74" s="315"/>
      <c r="T74" s="311"/>
      <c r="U74" s="315"/>
      <c r="V74" s="316"/>
      <c r="W74" s="316"/>
      <c r="X74" s="317"/>
    </row>
    <row r="75" spans="1:24" ht="13.5" customHeight="1" x14ac:dyDescent="0.3">
      <c r="A75" s="676" t="s">
        <v>157</v>
      </c>
      <c r="B75" s="677" t="s">
        <v>158</v>
      </c>
      <c r="C75" s="668"/>
      <c r="D75" s="671" t="s">
        <v>93</v>
      </c>
      <c r="E75" s="671" t="s">
        <v>40</v>
      </c>
      <c r="F75" s="678">
        <f>78000*21/S2</f>
        <v>94409.766050524777</v>
      </c>
      <c r="G75" s="671" t="s">
        <v>94</v>
      </c>
      <c r="H75" s="671" t="s">
        <v>94</v>
      </c>
      <c r="I75" s="6" t="s">
        <v>43</v>
      </c>
      <c r="J75" s="19">
        <v>40420</v>
      </c>
      <c r="K75" s="19">
        <v>40436</v>
      </c>
      <c r="L75" s="7"/>
      <c r="M75" s="15">
        <v>40456</v>
      </c>
      <c r="N75" s="7">
        <v>40487</v>
      </c>
      <c r="O75" s="13">
        <v>40497</v>
      </c>
      <c r="P75" s="7">
        <v>40517</v>
      </c>
      <c r="Q75" s="6" t="s">
        <v>43</v>
      </c>
      <c r="R75" s="14"/>
      <c r="S75" s="7">
        <v>40522</v>
      </c>
      <c r="T75" s="7">
        <v>40532</v>
      </c>
      <c r="U75" s="4"/>
      <c r="V75" s="4">
        <v>40714</v>
      </c>
      <c r="W75" s="4">
        <f>V75+365</f>
        <v>41079</v>
      </c>
      <c r="X75" s="12"/>
    </row>
    <row r="76" spans="1:24" ht="13.5" customHeight="1" x14ac:dyDescent="0.3">
      <c r="A76" s="676"/>
      <c r="B76" s="677"/>
      <c r="C76" s="669"/>
      <c r="D76" s="671"/>
      <c r="E76" s="671"/>
      <c r="F76" s="678"/>
      <c r="G76" s="671"/>
      <c r="H76" s="671"/>
      <c r="I76" s="6" t="s">
        <v>44</v>
      </c>
      <c r="J76" s="19">
        <v>40563</v>
      </c>
      <c r="K76" s="19">
        <v>40568</v>
      </c>
      <c r="L76" s="11"/>
      <c r="M76" s="15">
        <v>40586</v>
      </c>
      <c r="N76" s="7">
        <v>40616</v>
      </c>
      <c r="O76" s="13">
        <f>N76+O75-N75</f>
        <v>40626</v>
      </c>
      <c r="P76" s="4">
        <v>40653</v>
      </c>
      <c r="Q76" s="6" t="s">
        <v>44</v>
      </c>
      <c r="R76" s="14">
        <f>2963555.75/S2</f>
        <v>170811.11418509614</v>
      </c>
      <c r="S76" s="151" t="s">
        <v>153</v>
      </c>
      <c r="T76" s="151" t="s">
        <v>154</v>
      </c>
      <c r="U76" s="11"/>
      <c r="V76" s="4">
        <v>40834</v>
      </c>
      <c r="W76" s="4">
        <f>V76+365</f>
        <v>41199</v>
      </c>
      <c r="X76" s="12"/>
    </row>
    <row r="77" spans="1:24" ht="13.5" customHeight="1" x14ac:dyDescent="0.3">
      <c r="A77" s="676"/>
      <c r="B77" s="677"/>
      <c r="C77" s="670"/>
      <c r="D77" s="671"/>
      <c r="E77" s="671"/>
      <c r="F77" s="678"/>
      <c r="G77" s="671"/>
      <c r="H77" s="671"/>
      <c r="I77" s="310"/>
      <c r="J77" s="311"/>
      <c r="K77" s="311"/>
      <c r="L77" s="312"/>
      <c r="M77" s="313"/>
      <c r="N77" s="311"/>
      <c r="O77" s="311"/>
      <c r="P77" s="311"/>
      <c r="Q77" s="310"/>
      <c r="R77" s="314"/>
      <c r="S77" s="315"/>
      <c r="T77" s="311"/>
      <c r="U77" s="315"/>
      <c r="V77" s="316"/>
      <c r="W77" s="316"/>
      <c r="X77" s="317"/>
    </row>
    <row r="78" spans="1:24" ht="13.5" customHeight="1" x14ac:dyDescent="0.3">
      <c r="A78" s="676" t="s">
        <v>159</v>
      </c>
      <c r="B78" s="677" t="s">
        <v>160</v>
      </c>
      <c r="C78" s="668"/>
      <c r="D78" s="671" t="s">
        <v>93</v>
      </c>
      <c r="E78" s="671" t="s">
        <v>40</v>
      </c>
      <c r="F78" s="678">
        <f>78000*20/S2</f>
        <v>89914.062905261686</v>
      </c>
      <c r="G78" s="671" t="s">
        <v>94</v>
      </c>
      <c r="H78" s="671" t="s">
        <v>94</v>
      </c>
      <c r="I78" s="6" t="s">
        <v>43</v>
      </c>
      <c r="J78" s="19">
        <v>40420</v>
      </c>
      <c r="K78" s="19">
        <v>40436</v>
      </c>
      <c r="L78" s="7"/>
      <c r="M78" s="9">
        <v>40446</v>
      </c>
      <c r="N78" s="7">
        <v>40476</v>
      </c>
      <c r="O78" s="13">
        <v>40492</v>
      </c>
      <c r="P78" s="7">
        <v>40507</v>
      </c>
      <c r="Q78" s="6" t="s">
        <v>43</v>
      </c>
      <c r="R78" s="14"/>
      <c r="S78" s="7">
        <v>40512</v>
      </c>
      <c r="T78" s="7">
        <v>40519</v>
      </c>
      <c r="U78" s="4"/>
      <c r="V78" s="4">
        <v>40701</v>
      </c>
      <c r="W78" s="4">
        <f>V78+365</f>
        <v>41066</v>
      </c>
      <c r="X78" s="12"/>
    </row>
    <row r="79" spans="1:24" ht="13.5" customHeight="1" x14ac:dyDescent="0.3">
      <c r="A79" s="676"/>
      <c r="B79" s="677"/>
      <c r="C79" s="669"/>
      <c r="D79" s="671"/>
      <c r="E79" s="671"/>
      <c r="F79" s="678"/>
      <c r="G79" s="671"/>
      <c r="H79" s="671"/>
      <c r="I79" s="6" t="s">
        <v>44</v>
      </c>
      <c r="J79" s="19">
        <v>40563</v>
      </c>
      <c r="K79" s="19">
        <v>40568</v>
      </c>
      <c r="L79" s="11"/>
      <c r="M79" s="9">
        <v>40586</v>
      </c>
      <c r="N79" s="7">
        <v>40616</v>
      </c>
      <c r="O79" s="13">
        <f>N79+O78-N78</f>
        <v>40632</v>
      </c>
      <c r="P79" s="4">
        <v>40653</v>
      </c>
      <c r="Q79" s="6" t="s">
        <v>44</v>
      </c>
      <c r="R79" s="14">
        <f>1678413.5/S2</f>
        <v>96739.087833359255</v>
      </c>
      <c r="S79" s="151" t="s">
        <v>161</v>
      </c>
      <c r="T79" s="151" t="s">
        <v>162</v>
      </c>
      <c r="U79" s="11"/>
      <c r="V79" s="4">
        <v>40892</v>
      </c>
      <c r="W79" s="4">
        <f>V79+365</f>
        <v>41257</v>
      </c>
      <c r="X79" s="12"/>
    </row>
    <row r="80" spans="1:24" ht="13.5" customHeight="1" x14ac:dyDescent="0.3">
      <c r="A80" s="676"/>
      <c r="B80" s="677"/>
      <c r="C80" s="670"/>
      <c r="D80" s="671"/>
      <c r="E80" s="671"/>
      <c r="F80" s="678"/>
      <c r="G80" s="671"/>
      <c r="H80" s="671"/>
      <c r="I80" s="310"/>
      <c r="J80" s="311"/>
      <c r="K80" s="311"/>
      <c r="L80" s="312"/>
      <c r="M80" s="313"/>
      <c r="N80" s="311"/>
      <c r="O80" s="311"/>
      <c r="P80" s="311"/>
      <c r="Q80" s="310"/>
      <c r="R80" s="314"/>
      <c r="S80" s="315"/>
      <c r="T80" s="311"/>
      <c r="U80" s="315"/>
      <c r="V80" s="316"/>
      <c r="W80" s="316"/>
      <c r="X80" s="317"/>
    </row>
    <row r="81" spans="1:25" ht="13.5" customHeight="1" x14ac:dyDescent="0.3">
      <c r="A81" s="676" t="s">
        <v>163</v>
      </c>
      <c r="B81" s="677" t="s">
        <v>164</v>
      </c>
      <c r="C81" s="668"/>
      <c r="D81" s="671" t="s">
        <v>93</v>
      </c>
      <c r="E81" s="671" t="s">
        <v>40</v>
      </c>
      <c r="F81" s="678">
        <f>78000*13/S2</f>
        <v>58444.140888420101</v>
      </c>
      <c r="G81" s="671" t="s">
        <v>94</v>
      </c>
      <c r="H81" s="671" t="s">
        <v>94</v>
      </c>
      <c r="I81" s="6" t="s">
        <v>43</v>
      </c>
      <c r="J81" s="19">
        <v>40420</v>
      </c>
      <c r="K81" s="19">
        <v>40436</v>
      </c>
      <c r="L81" s="20"/>
      <c r="M81" s="15">
        <v>40456</v>
      </c>
      <c r="N81" s="7">
        <v>40487</v>
      </c>
      <c r="O81" s="13">
        <v>40497</v>
      </c>
      <c r="P81" s="7">
        <v>40517</v>
      </c>
      <c r="Q81" s="6" t="s">
        <v>43</v>
      </c>
      <c r="R81" s="14"/>
      <c r="S81" s="7">
        <v>40512</v>
      </c>
      <c r="T81" s="7">
        <v>40519</v>
      </c>
      <c r="U81" s="4"/>
      <c r="V81" s="4">
        <v>40701</v>
      </c>
      <c r="W81" s="4">
        <f>V81+365</f>
        <v>41066</v>
      </c>
      <c r="X81" s="12"/>
    </row>
    <row r="82" spans="1:25" ht="13.5" customHeight="1" x14ac:dyDescent="0.3">
      <c r="A82" s="676"/>
      <c r="B82" s="677"/>
      <c r="C82" s="669"/>
      <c r="D82" s="671"/>
      <c r="E82" s="671"/>
      <c r="F82" s="678"/>
      <c r="G82" s="671"/>
      <c r="H82" s="671"/>
      <c r="I82" s="6" t="s">
        <v>44</v>
      </c>
      <c r="J82" s="19">
        <v>40379</v>
      </c>
      <c r="K82" s="19">
        <v>40384</v>
      </c>
      <c r="L82" s="8"/>
      <c r="M82" s="15">
        <v>40416</v>
      </c>
      <c r="N82" s="7">
        <v>40477</v>
      </c>
      <c r="O82" s="13">
        <v>40492</v>
      </c>
      <c r="P82" s="7">
        <v>40497</v>
      </c>
      <c r="Q82" s="6" t="s">
        <v>44</v>
      </c>
      <c r="R82" s="14">
        <f>1172344.9/S2</f>
        <v>67570.700695681226</v>
      </c>
      <c r="S82" s="7">
        <v>40518</v>
      </c>
      <c r="T82" s="7">
        <v>40543</v>
      </c>
      <c r="U82" s="11"/>
      <c r="V82" s="4">
        <v>40872</v>
      </c>
      <c r="W82" s="4">
        <f>V82+365</f>
        <v>41237</v>
      </c>
      <c r="X82" s="12"/>
    </row>
    <row r="83" spans="1:25" ht="13.5" customHeight="1" x14ac:dyDescent="0.3">
      <c r="A83" s="676"/>
      <c r="B83" s="677"/>
      <c r="C83" s="670"/>
      <c r="D83" s="671"/>
      <c r="E83" s="671"/>
      <c r="F83" s="678"/>
      <c r="G83" s="671"/>
      <c r="H83" s="671"/>
      <c r="I83" s="310"/>
      <c r="J83" s="311"/>
      <c r="K83" s="311"/>
      <c r="L83" s="312"/>
      <c r="M83" s="313"/>
      <c r="N83" s="311"/>
      <c r="O83" s="311"/>
      <c r="P83" s="311"/>
      <c r="Q83" s="310"/>
      <c r="R83" s="314"/>
      <c r="S83" s="315"/>
      <c r="T83" s="311"/>
      <c r="U83" s="315"/>
      <c r="V83" s="316"/>
      <c r="W83" s="316"/>
      <c r="X83" s="317"/>
    </row>
    <row r="84" spans="1:25" ht="13.5" customHeight="1" x14ac:dyDescent="0.3">
      <c r="A84" s="676" t="s">
        <v>165</v>
      </c>
      <c r="B84" s="677" t="s">
        <v>166</v>
      </c>
      <c r="C84" s="668"/>
      <c r="D84" s="671" t="s">
        <v>93</v>
      </c>
      <c r="E84" s="671" t="s">
        <v>40</v>
      </c>
      <c r="F84" s="678">
        <f>78000*19/S2</f>
        <v>85418.35975999861</v>
      </c>
      <c r="G84" s="671" t="s">
        <v>94</v>
      </c>
      <c r="H84" s="671" t="s">
        <v>94</v>
      </c>
      <c r="I84" s="6" t="s">
        <v>43</v>
      </c>
      <c r="J84" s="19">
        <v>40420</v>
      </c>
      <c r="K84" s="19">
        <v>40436</v>
      </c>
      <c r="L84" s="20"/>
      <c r="M84" s="15">
        <v>40456</v>
      </c>
      <c r="N84" s="7">
        <v>40487</v>
      </c>
      <c r="O84" s="13">
        <v>40497</v>
      </c>
      <c r="P84" s="7">
        <v>40517</v>
      </c>
      <c r="Q84" s="6" t="s">
        <v>43</v>
      </c>
      <c r="R84" s="14"/>
      <c r="S84" s="7">
        <v>40512</v>
      </c>
      <c r="T84" s="7">
        <v>40519</v>
      </c>
      <c r="U84" s="4"/>
      <c r="V84" s="4">
        <v>40701</v>
      </c>
      <c r="W84" s="4">
        <f>V84+365</f>
        <v>41066</v>
      </c>
      <c r="X84" s="12"/>
    </row>
    <row r="85" spans="1:25" ht="13.5" customHeight="1" x14ac:dyDescent="0.3">
      <c r="A85" s="676"/>
      <c r="B85" s="677"/>
      <c r="C85" s="669"/>
      <c r="D85" s="671"/>
      <c r="E85" s="671"/>
      <c r="F85" s="678"/>
      <c r="G85" s="671"/>
      <c r="H85" s="671"/>
      <c r="I85" s="6" t="s">
        <v>44</v>
      </c>
      <c r="J85" s="19">
        <v>40379</v>
      </c>
      <c r="K85" s="19">
        <v>40384</v>
      </c>
      <c r="L85" s="8"/>
      <c r="M85" s="15">
        <v>40416</v>
      </c>
      <c r="N85" s="7">
        <v>40477</v>
      </c>
      <c r="O85" s="13">
        <v>40492</v>
      </c>
      <c r="P85" s="7">
        <v>40497</v>
      </c>
      <c r="Q85" s="6" t="s">
        <v>44</v>
      </c>
      <c r="R85" s="14">
        <f>((1257663/18)*21/S2)</f>
        <v>84569.565242450961</v>
      </c>
      <c r="S85" s="7">
        <v>40518</v>
      </c>
      <c r="T85" s="7">
        <v>40529</v>
      </c>
      <c r="U85" s="11"/>
      <c r="V85" s="4">
        <v>40718</v>
      </c>
      <c r="W85" s="4">
        <f>V85+365</f>
        <v>41083</v>
      </c>
      <c r="X85" s="12"/>
    </row>
    <row r="86" spans="1:25" ht="13.5" customHeight="1" x14ac:dyDescent="0.3">
      <c r="A86" s="676"/>
      <c r="B86" s="677"/>
      <c r="C86" s="670"/>
      <c r="D86" s="671"/>
      <c r="E86" s="671"/>
      <c r="F86" s="678"/>
      <c r="G86" s="671"/>
      <c r="H86" s="671"/>
      <c r="I86" s="310"/>
      <c r="J86" s="311"/>
      <c r="K86" s="311"/>
      <c r="L86" s="312"/>
      <c r="M86" s="313"/>
      <c r="N86" s="311"/>
      <c r="O86" s="311"/>
      <c r="P86" s="311"/>
      <c r="Q86" s="310"/>
      <c r="R86" s="314"/>
      <c r="S86" s="315"/>
      <c r="T86" s="311"/>
      <c r="U86" s="315"/>
      <c r="V86" s="316"/>
      <c r="W86" s="316"/>
      <c r="X86" s="317"/>
    </row>
    <row r="87" spans="1:25" ht="13.5" customHeight="1" x14ac:dyDescent="0.3">
      <c r="A87" s="676" t="s">
        <v>167</v>
      </c>
      <c r="B87" s="677" t="s">
        <v>168</v>
      </c>
      <c r="C87" s="668"/>
      <c r="D87" s="671" t="s">
        <v>93</v>
      </c>
      <c r="E87" s="671" t="s">
        <v>40</v>
      </c>
      <c r="F87" s="678">
        <f>78000*9/S2</f>
        <v>40461.328307367759</v>
      </c>
      <c r="G87" s="671" t="s">
        <v>94</v>
      </c>
      <c r="H87" s="671" t="s">
        <v>94</v>
      </c>
      <c r="I87" s="6" t="s">
        <v>43</v>
      </c>
      <c r="J87" s="19">
        <v>40420</v>
      </c>
      <c r="K87" s="19">
        <v>40436</v>
      </c>
      <c r="L87" s="20"/>
      <c r="M87" s="9">
        <v>40456</v>
      </c>
      <c r="N87" s="7">
        <v>40487</v>
      </c>
      <c r="O87" s="13">
        <v>40497</v>
      </c>
      <c r="P87" s="7">
        <v>40517</v>
      </c>
      <c r="Q87" s="6" t="s">
        <v>43</v>
      </c>
      <c r="R87" s="14"/>
      <c r="S87" s="7">
        <v>40512</v>
      </c>
      <c r="T87" s="7">
        <v>40519</v>
      </c>
      <c r="U87" s="4"/>
      <c r="V87" s="4">
        <v>40701</v>
      </c>
      <c r="W87" s="4">
        <f>V87+365</f>
        <v>41066</v>
      </c>
      <c r="X87" s="12"/>
      <c r="Y87" s="710"/>
    </row>
    <row r="88" spans="1:25" ht="13.5" customHeight="1" x14ac:dyDescent="0.3">
      <c r="A88" s="676"/>
      <c r="B88" s="677"/>
      <c r="C88" s="669"/>
      <c r="D88" s="671"/>
      <c r="E88" s="671"/>
      <c r="F88" s="678"/>
      <c r="G88" s="671"/>
      <c r="H88" s="671"/>
      <c r="I88" s="6" t="s">
        <v>44</v>
      </c>
      <c r="J88" s="19">
        <v>40563</v>
      </c>
      <c r="K88" s="19">
        <v>40568</v>
      </c>
      <c r="L88" s="11"/>
      <c r="M88" s="9">
        <v>40586</v>
      </c>
      <c r="N88" s="7">
        <v>40616</v>
      </c>
      <c r="O88" s="13">
        <v>40632</v>
      </c>
      <c r="P88" s="7">
        <v>40497</v>
      </c>
      <c r="Q88" s="6" t="s">
        <v>44</v>
      </c>
      <c r="R88" s="10">
        <f>1477692.5/S2</f>
        <v>85170.087435662441</v>
      </c>
      <c r="S88" s="7">
        <v>40518</v>
      </c>
      <c r="T88" s="32" t="s">
        <v>153</v>
      </c>
      <c r="U88" s="11"/>
      <c r="V88" s="4">
        <v>40796</v>
      </c>
      <c r="W88" s="4">
        <f>V88+365</f>
        <v>41161</v>
      </c>
      <c r="X88" s="12"/>
      <c r="Y88" s="710"/>
    </row>
    <row r="89" spans="1:25" ht="13.5" customHeight="1" x14ac:dyDescent="0.3">
      <c r="A89" s="676"/>
      <c r="B89" s="677"/>
      <c r="C89" s="670"/>
      <c r="D89" s="671"/>
      <c r="E89" s="671"/>
      <c r="F89" s="678"/>
      <c r="G89" s="671"/>
      <c r="H89" s="671"/>
      <c r="I89" s="310"/>
      <c r="J89" s="311"/>
      <c r="K89" s="311"/>
      <c r="L89" s="312"/>
      <c r="M89" s="313"/>
      <c r="N89" s="311"/>
      <c r="O89" s="311"/>
      <c r="P89" s="311"/>
      <c r="Q89" s="310"/>
      <c r="R89" s="314"/>
      <c r="S89" s="315"/>
      <c r="T89" s="311"/>
      <c r="U89" s="315"/>
      <c r="V89" s="316"/>
      <c r="W89" s="316"/>
      <c r="X89" s="317"/>
      <c r="Y89" s="710"/>
    </row>
    <row r="90" spans="1:25" ht="13.5" customHeight="1" x14ac:dyDescent="0.3">
      <c r="A90" s="676" t="s">
        <v>169</v>
      </c>
      <c r="B90" s="677" t="s">
        <v>117</v>
      </c>
      <c r="C90" s="668"/>
      <c r="D90" s="671" t="s">
        <v>93</v>
      </c>
      <c r="E90" s="671" t="s">
        <v>40</v>
      </c>
      <c r="F90" s="678">
        <f>((78000*3))/S2</f>
        <v>13487.109435789254</v>
      </c>
      <c r="G90" s="671" t="s">
        <v>94</v>
      </c>
      <c r="H90" s="671" t="s">
        <v>94</v>
      </c>
      <c r="I90" s="6" t="s">
        <v>43</v>
      </c>
      <c r="J90" s="7">
        <f>K90-8</f>
        <v>39911</v>
      </c>
      <c r="K90" s="7">
        <f>M90-10</f>
        <v>39919</v>
      </c>
      <c r="L90" s="7"/>
      <c r="M90" s="9">
        <v>39929</v>
      </c>
      <c r="N90" s="7">
        <v>39974</v>
      </c>
      <c r="O90" s="7">
        <v>40009</v>
      </c>
      <c r="P90" s="7">
        <f>O90+5</f>
        <v>40014</v>
      </c>
      <c r="Q90" s="6" t="s">
        <v>43</v>
      </c>
      <c r="R90" s="10"/>
      <c r="S90" s="7">
        <f>T90-7</f>
        <v>40014</v>
      </c>
      <c r="T90" s="7">
        <v>40021</v>
      </c>
      <c r="U90" s="4"/>
      <c r="V90" s="4">
        <v>40071</v>
      </c>
      <c r="W90" s="4">
        <f>V90+365</f>
        <v>40436</v>
      </c>
      <c r="X90" s="12"/>
    </row>
    <row r="91" spans="1:25" ht="13.5" customHeight="1" x14ac:dyDescent="0.3">
      <c r="A91" s="676"/>
      <c r="B91" s="677"/>
      <c r="C91" s="669"/>
      <c r="D91" s="671"/>
      <c r="E91" s="671"/>
      <c r="F91" s="678"/>
      <c r="G91" s="671"/>
      <c r="H91" s="671"/>
      <c r="I91" s="6" t="s">
        <v>44</v>
      </c>
      <c r="J91" s="7">
        <v>39855</v>
      </c>
      <c r="K91" s="7">
        <v>39863</v>
      </c>
      <c r="L91" s="11"/>
      <c r="M91" s="15">
        <v>39873</v>
      </c>
      <c r="N91" s="7">
        <v>39902</v>
      </c>
      <c r="O91" s="13">
        <v>39938</v>
      </c>
      <c r="P91" s="4">
        <v>39948</v>
      </c>
      <c r="Q91" s="6" t="s">
        <v>44</v>
      </c>
      <c r="R91" s="10">
        <f>208484/S2</f>
        <v>12016.438135090115</v>
      </c>
      <c r="S91" s="32" t="s">
        <v>118</v>
      </c>
      <c r="T91" s="7">
        <v>39973</v>
      </c>
      <c r="U91" s="11"/>
      <c r="V91" s="16">
        <v>40318</v>
      </c>
      <c r="W91" s="4">
        <f>V91+365</f>
        <v>40683</v>
      </c>
      <c r="X91" s="12"/>
    </row>
    <row r="92" spans="1:25" ht="13.5" customHeight="1" x14ac:dyDescent="0.3">
      <c r="A92" s="676"/>
      <c r="B92" s="677"/>
      <c r="C92" s="670"/>
      <c r="D92" s="671"/>
      <c r="E92" s="671"/>
      <c r="F92" s="678"/>
      <c r="G92" s="671"/>
      <c r="H92" s="671"/>
      <c r="I92" s="310"/>
      <c r="J92" s="311"/>
      <c r="K92" s="311"/>
      <c r="L92" s="312"/>
      <c r="M92" s="313"/>
      <c r="N92" s="311"/>
      <c r="O92" s="311"/>
      <c r="P92" s="311"/>
      <c r="Q92" s="310"/>
      <c r="R92" s="314"/>
      <c r="S92" s="315"/>
      <c r="T92" s="311"/>
      <c r="U92" s="315"/>
      <c r="V92" s="316"/>
      <c r="W92" s="316"/>
      <c r="X92" s="317"/>
    </row>
    <row r="93" spans="1:25" ht="15.6" x14ac:dyDescent="0.3">
      <c r="A93" s="707" t="s">
        <v>170</v>
      </c>
      <c r="B93" s="708"/>
      <c r="C93" s="387"/>
      <c r="D93" s="388"/>
      <c r="E93" s="388"/>
      <c r="F93" s="388"/>
      <c r="G93" s="388"/>
      <c r="H93" s="388"/>
      <c r="I93" s="388"/>
      <c r="J93" s="389"/>
      <c r="K93" s="389"/>
      <c r="L93" s="389"/>
      <c r="M93" s="389"/>
      <c r="N93" s="390"/>
      <c r="O93" s="389"/>
      <c r="P93" s="389"/>
      <c r="Q93" s="388"/>
      <c r="R93" s="389"/>
      <c r="S93" s="389"/>
      <c r="T93" s="391"/>
      <c r="U93" s="388"/>
      <c r="V93" s="388"/>
      <c r="W93" s="388"/>
      <c r="X93" s="392"/>
      <c r="Y93" s="17"/>
    </row>
    <row r="94" spans="1:25" ht="13.5" customHeight="1" x14ac:dyDescent="0.3">
      <c r="A94" s="676" t="s">
        <v>171</v>
      </c>
      <c r="B94" s="677" t="s">
        <v>172</v>
      </c>
      <c r="C94" s="668"/>
      <c r="D94" s="671" t="s">
        <v>93</v>
      </c>
      <c r="E94" s="671" t="s">
        <v>40</v>
      </c>
      <c r="F94" s="678">
        <f>78000*20/S2</f>
        <v>89914.062905261686</v>
      </c>
      <c r="G94" s="671" t="s">
        <v>94</v>
      </c>
      <c r="H94" s="671" t="s">
        <v>94</v>
      </c>
      <c r="I94" s="6" t="s">
        <v>43</v>
      </c>
      <c r="J94" s="19">
        <v>40420</v>
      </c>
      <c r="K94" s="19">
        <v>40436</v>
      </c>
      <c r="L94" s="7"/>
      <c r="M94" s="9">
        <v>40446</v>
      </c>
      <c r="N94" s="7">
        <v>40476</v>
      </c>
      <c r="O94" s="13">
        <v>40492</v>
      </c>
      <c r="P94" s="7">
        <v>40507</v>
      </c>
      <c r="Q94" s="6" t="s">
        <v>43</v>
      </c>
      <c r="R94" s="14"/>
      <c r="S94" s="7">
        <v>40512</v>
      </c>
      <c r="T94" s="7">
        <v>40519</v>
      </c>
      <c r="U94" s="4"/>
      <c r="V94" s="4">
        <v>41006</v>
      </c>
      <c r="W94" s="4">
        <f>V94+365</f>
        <v>41371</v>
      </c>
      <c r="X94" s="12"/>
    </row>
    <row r="95" spans="1:25" ht="13.5" customHeight="1" x14ac:dyDescent="0.3">
      <c r="A95" s="676"/>
      <c r="B95" s="677"/>
      <c r="C95" s="669"/>
      <c r="D95" s="671"/>
      <c r="E95" s="671"/>
      <c r="F95" s="678"/>
      <c r="G95" s="671"/>
      <c r="H95" s="671"/>
      <c r="I95" s="6" t="s">
        <v>44</v>
      </c>
      <c r="J95" s="19">
        <v>40563</v>
      </c>
      <c r="K95" s="19">
        <v>40568</v>
      </c>
      <c r="L95" s="11"/>
      <c r="M95" s="9">
        <v>40586</v>
      </c>
      <c r="N95" s="7">
        <v>40616</v>
      </c>
      <c r="O95" s="13">
        <f>N95+O94-N94</f>
        <v>40632</v>
      </c>
      <c r="P95" s="4">
        <v>40653</v>
      </c>
      <c r="Q95" s="6" t="s">
        <v>44</v>
      </c>
      <c r="R95" s="14">
        <f>2107812/S2</f>
        <v>121488.42356440093</v>
      </c>
      <c r="S95" s="32" t="s">
        <v>110</v>
      </c>
      <c r="T95" s="11" t="s">
        <v>153</v>
      </c>
      <c r="U95" s="11"/>
      <c r="V95" s="19">
        <f>T95+120</f>
        <v>40823</v>
      </c>
      <c r="W95" s="19">
        <f>V95+365</f>
        <v>41188</v>
      </c>
      <c r="X95" s="12"/>
    </row>
    <row r="96" spans="1:25" ht="13.5" customHeight="1" x14ac:dyDescent="0.3">
      <c r="A96" s="676"/>
      <c r="B96" s="677"/>
      <c r="C96" s="670"/>
      <c r="D96" s="671"/>
      <c r="E96" s="671"/>
      <c r="F96" s="678"/>
      <c r="G96" s="671"/>
      <c r="H96" s="671"/>
      <c r="I96" s="310"/>
      <c r="J96" s="311"/>
      <c r="K96" s="311"/>
      <c r="L96" s="312"/>
      <c r="M96" s="313"/>
      <c r="N96" s="311"/>
      <c r="O96" s="311"/>
      <c r="P96" s="311"/>
      <c r="Q96" s="310"/>
      <c r="R96" s="314"/>
      <c r="S96" s="315"/>
      <c r="T96" s="311"/>
      <c r="U96" s="315"/>
      <c r="V96" s="316"/>
      <c r="W96" s="316"/>
      <c r="X96" s="317"/>
    </row>
    <row r="97" spans="1:24" ht="13.5" customHeight="1" x14ac:dyDescent="0.3">
      <c r="A97" s="676" t="s">
        <v>173</v>
      </c>
      <c r="B97" s="677" t="s">
        <v>174</v>
      </c>
      <c r="C97" s="668"/>
      <c r="D97" s="671" t="s">
        <v>93</v>
      </c>
      <c r="E97" s="671" t="s">
        <v>40</v>
      </c>
      <c r="F97" s="678">
        <f>78000*19/S2</f>
        <v>85418.35975999861</v>
      </c>
      <c r="G97" s="671" t="s">
        <v>94</v>
      </c>
      <c r="H97" s="671" t="s">
        <v>94</v>
      </c>
      <c r="I97" s="6" t="s">
        <v>43</v>
      </c>
      <c r="J97" s="19">
        <v>40420</v>
      </c>
      <c r="K97" s="19">
        <v>40436</v>
      </c>
      <c r="L97" s="7"/>
      <c r="M97" s="9">
        <v>40446</v>
      </c>
      <c r="N97" s="7">
        <v>40476</v>
      </c>
      <c r="O97" s="13">
        <v>40492</v>
      </c>
      <c r="P97" s="7">
        <v>40507</v>
      </c>
      <c r="Q97" s="6" t="s">
        <v>43</v>
      </c>
      <c r="R97" s="14"/>
      <c r="S97" s="7">
        <v>40512</v>
      </c>
      <c r="T97" s="7">
        <v>40519</v>
      </c>
      <c r="U97" s="4"/>
      <c r="V97" s="4">
        <v>41006</v>
      </c>
      <c r="W97" s="4">
        <f>V97+365</f>
        <v>41371</v>
      </c>
      <c r="X97" s="12"/>
    </row>
    <row r="98" spans="1:24" ht="13.5" customHeight="1" x14ac:dyDescent="0.3">
      <c r="A98" s="676"/>
      <c r="B98" s="677"/>
      <c r="C98" s="669"/>
      <c r="D98" s="671"/>
      <c r="E98" s="671"/>
      <c r="F98" s="678"/>
      <c r="G98" s="671"/>
      <c r="H98" s="671"/>
      <c r="I98" s="6" t="s">
        <v>44</v>
      </c>
      <c r="J98" s="19">
        <v>40563</v>
      </c>
      <c r="K98" s="19">
        <v>40568</v>
      </c>
      <c r="L98" s="11"/>
      <c r="M98" s="9">
        <v>40586</v>
      </c>
      <c r="N98" s="7">
        <v>40616</v>
      </c>
      <c r="O98" s="13">
        <f>N98+O97-N97</f>
        <v>40632</v>
      </c>
      <c r="P98" s="4">
        <v>40653</v>
      </c>
      <c r="Q98" s="6" t="s">
        <v>44</v>
      </c>
      <c r="R98" s="10">
        <f>2289399.3/S2</f>
        <v>131954.61068939877</v>
      </c>
      <c r="S98" s="32" t="s">
        <v>110</v>
      </c>
      <c r="T98" s="32" t="s">
        <v>175</v>
      </c>
      <c r="U98" s="11"/>
      <c r="V98" s="11"/>
      <c r="W98" s="4"/>
      <c r="X98" s="12"/>
    </row>
    <row r="99" spans="1:24" ht="13.5" customHeight="1" x14ac:dyDescent="0.3">
      <c r="A99" s="676"/>
      <c r="B99" s="677"/>
      <c r="C99" s="670"/>
      <c r="D99" s="671"/>
      <c r="E99" s="671"/>
      <c r="F99" s="678"/>
      <c r="G99" s="671"/>
      <c r="H99" s="671"/>
      <c r="I99" s="310"/>
      <c r="J99" s="311"/>
      <c r="K99" s="311"/>
      <c r="L99" s="312"/>
      <c r="M99" s="313"/>
      <c r="N99" s="311"/>
      <c r="O99" s="311"/>
      <c r="P99" s="311"/>
      <c r="Q99" s="310"/>
      <c r="R99" s="314"/>
      <c r="S99" s="315"/>
      <c r="T99" s="311"/>
      <c r="U99" s="315"/>
      <c r="V99" s="316"/>
      <c r="W99" s="316"/>
      <c r="X99" s="317"/>
    </row>
    <row r="100" spans="1:24" ht="13.5" customHeight="1" x14ac:dyDescent="0.3">
      <c r="A100" s="676" t="s">
        <v>176</v>
      </c>
      <c r="B100" s="677" t="s">
        <v>177</v>
      </c>
      <c r="C100" s="668"/>
      <c r="D100" s="671" t="s">
        <v>93</v>
      </c>
      <c r="E100" s="671" t="s">
        <v>40</v>
      </c>
      <c r="F100" s="678">
        <f>88000*10/S2</f>
        <v>50720.753433737365</v>
      </c>
      <c r="G100" s="671" t="s">
        <v>94</v>
      </c>
      <c r="H100" s="671" t="s">
        <v>94</v>
      </c>
      <c r="I100" s="6" t="s">
        <v>43</v>
      </c>
      <c r="J100" s="19">
        <v>40481</v>
      </c>
      <c r="K100" s="19">
        <v>40497</v>
      </c>
      <c r="L100" s="7"/>
      <c r="M100" s="9">
        <v>40507</v>
      </c>
      <c r="N100" s="7">
        <v>40537</v>
      </c>
      <c r="O100" s="13">
        <v>40553</v>
      </c>
      <c r="P100" s="7">
        <v>40568</v>
      </c>
      <c r="Q100" s="6" t="s">
        <v>43</v>
      </c>
      <c r="R100" s="14"/>
      <c r="S100" s="7">
        <v>40573</v>
      </c>
      <c r="T100" s="7">
        <v>40581</v>
      </c>
      <c r="U100" s="4"/>
      <c r="V100" s="4">
        <v>41006</v>
      </c>
      <c r="W100" s="4">
        <f>V100+365</f>
        <v>41371</v>
      </c>
      <c r="X100" s="12"/>
    </row>
    <row r="101" spans="1:24" ht="13.5" customHeight="1" x14ac:dyDescent="0.3">
      <c r="A101" s="676"/>
      <c r="B101" s="677"/>
      <c r="C101" s="669"/>
      <c r="D101" s="671"/>
      <c r="E101" s="671"/>
      <c r="F101" s="678"/>
      <c r="G101" s="671"/>
      <c r="H101" s="671"/>
      <c r="I101" s="6" t="s">
        <v>44</v>
      </c>
      <c r="J101" s="153" t="s">
        <v>132</v>
      </c>
      <c r="K101" s="153" t="s">
        <v>133</v>
      </c>
      <c r="L101" s="11"/>
      <c r="M101" s="15">
        <v>40668</v>
      </c>
      <c r="N101" s="154">
        <v>40690</v>
      </c>
      <c r="O101" s="7">
        <v>40756</v>
      </c>
      <c r="P101" s="4">
        <v>40765</v>
      </c>
      <c r="Q101" s="6" t="s">
        <v>44</v>
      </c>
      <c r="R101" s="14">
        <f>1808260/S2</f>
        <v>104223.07909555674</v>
      </c>
      <c r="S101" s="32" t="s">
        <v>110</v>
      </c>
      <c r="T101" s="32" t="s">
        <v>111</v>
      </c>
      <c r="U101" s="11"/>
      <c r="V101" s="11"/>
      <c r="W101" s="4"/>
      <c r="X101" s="12"/>
    </row>
    <row r="102" spans="1:24" ht="13.5" customHeight="1" x14ac:dyDescent="0.3">
      <c r="A102" s="676"/>
      <c r="B102" s="677"/>
      <c r="C102" s="670"/>
      <c r="D102" s="671"/>
      <c r="E102" s="671"/>
      <c r="F102" s="678"/>
      <c r="G102" s="671"/>
      <c r="H102" s="671"/>
      <c r="I102" s="310"/>
      <c r="J102" s="311"/>
      <c r="K102" s="311"/>
      <c r="L102" s="312"/>
      <c r="M102" s="313"/>
      <c r="N102" s="311"/>
      <c r="O102" s="311"/>
      <c r="P102" s="311"/>
      <c r="Q102" s="310"/>
      <c r="R102" s="314"/>
      <c r="S102" s="315"/>
      <c r="T102" s="311"/>
      <c r="U102" s="315"/>
      <c r="V102" s="316"/>
      <c r="W102" s="316"/>
      <c r="X102" s="317"/>
    </row>
    <row r="103" spans="1:24" ht="13.5" customHeight="1" x14ac:dyDescent="0.3">
      <c r="A103" s="676" t="s">
        <v>178</v>
      </c>
      <c r="B103" s="677" t="s">
        <v>179</v>
      </c>
      <c r="C103" s="668"/>
      <c r="D103" s="671" t="s">
        <v>93</v>
      </c>
      <c r="E103" s="671" t="s">
        <v>40</v>
      </c>
      <c r="F103" s="678">
        <f>78000*20/S2</f>
        <v>89914.062905261686</v>
      </c>
      <c r="G103" s="671" t="s">
        <v>94</v>
      </c>
      <c r="H103" s="671" t="s">
        <v>94</v>
      </c>
      <c r="I103" s="6" t="s">
        <v>43</v>
      </c>
      <c r="J103" s="19">
        <v>40481</v>
      </c>
      <c r="K103" s="19">
        <v>40497</v>
      </c>
      <c r="L103" s="7"/>
      <c r="M103" s="9">
        <v>40507</v>
      </c>
      <c r="N103" s="7">
        <v>40537</v>
      </c>
      <c r="O103" s="13">
        <v>40553</v>
      </c>
      <c r="P103" s="7">
        <v>40568</v>
      </c>
      <c r="Q103" s="6" t="s">
        <v>43</v>
      </c>
      <c r="R103" s="14"/>
      <c r="S103" s="7">
        <v>40573</v>
      </c>
      <c r="T103" s="7">
        <v>40581</v>
      </c>
      <c r="U103" s="4"/>
      <c r="V103" s="4">
        <v>41006</v>
      </c>
      <c r="W103" s="4">
        <f>V103+365</f>
        <v>41371</v>
      </c>
      <c r="X103" s="12"/>
    </row>
    <row r="104" spans="1:24" ht="13.5" customHeight="1" x14ac:dyDescent="0.3">
      <c r="A104" s="676"/>
      <c r="B104" s="677"/>
      <c r="C104" s="669"/>
      <c r="D104" s="671"/>
      <c r="E104" s="671"/>
      <c r="F104" s="678"/>
      <c r="G104" s="671"/>
      <c r="H104" s="671"/>
      <c r="I104" s="6" t="s">
        <v>44</v>
      </c>
      <c r="J104" s="19">
        <v>40563</v>
      </c>
      <c r="K104" s="19">
        <v>40568</v>
      </c>
      <c r="L104" s="11"/>
      <c r="M104" s="15">
        <v>40586</v>
      </c>
      <c r="N104" s="19">
        <v>40616</v>
      </c>
      <c r="O104" s="7">
        <v>40632</v>
      </c>
      <c r="P104" s="4">
        <v>40653</v>
      </c>
      <c r="Q104" s="6" t="s">
        <v>44</v>
      </c>
      <c r="R104" s="10">
        <f>1857158/S2</f>
        <v>107041.4238698782</v>
      </c>
      <c r="S104" s="151" t="s">
        <v>161</v>
      </c>
      <c r="T104" s="151" t="s">
        <v>162</v>
      </c>
      <c r="U104" s="11"/>
      <c r="V104" s="11"/>
      <c r="W104" s="4"/>
      <c r="X104" s="12"/>
    </row>
    <row r="105" spans="1:24" ht="13.5" customHeight="1" x14ac:dyDescent="0.3">
      <c r="A105" s="676"/>
      <c r="B105" s="677"/>
      <c r="C105" s="670"/>
      <c r="D105" s="671"/>
      <c r="E105" s="671"/>
      <c r="F105" s="678"/>
      <c r="G105" s="671"/>
      <c r="H105" s="671"/>
      <c r="I105" s="310"/>
      <c r="J105" s="311"/>
      <c r="K105" s="311"/>
      <c r="L105" s="312"/>
      <c r="M105" s="313"/>
      <c r="N105" s="311"/>
      <c r="O105" s="311"/>
      <c r="P105" s="311"/>
      <c r="Q105" s="310"/>
      <c r="R105" s="314"/>
      <c r="S105" s="315"/>
      <c r="T105" s="311"/>
      <c r="U105" s="315"/>
      <c r="V105" s="316"/>
      <c r="W105" s="316"/>
      <c r="X105" s="317"/>
    </row>
    <row r="106" spans="1:24" ht="13.5" customHeight="1" x14ac:dyDescent="0.3">
      <c r="A106" s="676" t="s">
        <v>180</v>
      </c>
      <c r="B106" s="677" t="s">
        <v>181</v>
      </c>
      <c r="C106" s="668"/>
      <c r="D106" s="671" t="s">
        <v>93</v>
      </c>
      <c r="E106" s="671" t="s">
        <v>40</v>
      </c>
      <c r="F106" s="678">
        <f>78000*13/S2</f>
        <v>58444.140888420101</v>
      </c>
      <c r="G106" s="671" t="s">
        <v>94</v>
      </c>
      <c r="H106" s="671" t="s">
        <v>94</v>
      </c>
      <c r="I106" s="6" t="s">
        <v>43</v>
      </c>
      <c r="J106" s="19">
        <v>40420</v>
      </c>
      <c r="K106" s="19">
        <v>40436</v>
      </c>
      <c r="L106" s="20"/>
      <c r="M106" s="15">
        <v>40456</v>
      </c>
      <c r="N106" s="7">
        <v>40487</v>
      </c>
      <c r="O106" s="13">
        <v>40497</v>
      </c>
      <c r="P106" s="7">
        <v>40517</v>
      </c>
      <c r="Q106" s="6" t="s">
        <v>43</v>
      </c>
      <c r="R106" s="14"/>
      <c r="S106" s="7">
        <v>40512</v>
      </c>
      <c r="T106" s="7">
        <v>40519</v>
      </c>
      <c r="U106" s="4"/>
      <c r="V106" s="4">
        <v>40701</v>
      </c>
      <c r="W106" s="4">
        <f>V106+365</f>
        <v>41066</v>
      </c>
      <c r="X106" s="12"/>
    </row>
    <row r="107" spans="1:24" ht="13.5" customHeight="1" x14ac:dyDescent="0.3">
      <c r="A107" s="676"/>
      <c r="B107" s="677"/>
      <c r="C107" s="669"/>
      <c r="D107" s="671"/>
      <c r="E107" s="671"/>
      <c r="F107" s="678"/>
      <c r="G107" s="671"/>
      <c r="H107" s="671"/>
      <c r="I107" s="6" t="s">
        <v>44</v>
      </c>
      <c r="J107" s="19">
        <v>40379</v>
      </c>
      <c r="K107" s="19">
        <v>40384</v>
      </c>
      <c r="L107" s="8"/>
      <c r="M107" s="15">
        <v>40416</v>
      </c>
      <c r="N107" s="7">
        <v>40477</v>
      </c>
      <c r="O107" s="13">
        <v>40492</v>
      </c>
      <c r="P107" s="7">
        <v>40497</v>
      </c>
      <c r="Q107" s="6" t="s">
        <v>44</v>
      </c>
      <c r="R107" s="14">
        <f>1000707/S2</f>
        <v>57677.969325471611</v>
      </c>
      <c r="S107" s="7">
        <v>40518</v>
      </c>
      <c r="T107" s="7">
        <v>40529</v>
      </c>
      <c r="U107" s="11"/>
      <c r="V107" s="4">
        <v>40722</v>
      </c>
      <c r="W107" s="4">
        <f>V107+365</f>
        <v>41087</v>
      </c>
      <c r="X107" s="12"/>
    </row>
    <row r="108" spans="1:24" ht="13.5" customHeight="1" x14ac:dyDescent="0.3">
      <c r="A108" s="676"/>
      <c r="B108" s="677"/>
      <c r="C108" s="670"/>
      <c r="D108" s="671"/>
      <c r="E108" s="671"/>
      <c r="F108" s="678"/>
      <c r="G108" s="671"/>
      <c r="H108" s="671"/>
      <c r="I108" s="310"/>
      <c r="J108" s="311"/>
      <c r="K108" s="311"/>
      <c r="L108" s="312"/>
      <c r="M108" s="313"/>
      <c r="N108" s="311"/>
      <c r="O108" s="311"/>
      <c r="P108" s="311"/>
      <c r="Q108" s="310"/>
      <c r="R108" s="314"/>
      <c r="S108" s="315"/>
      <c r="T108" s="311"/>
      <c r="U108" s="315"/>
      <c r="V108" s="316"/>
      <c r="W108" s="316"/>
      <c r="X108" s="317"/>
    </row>
    <row r="109" spans="1:24" ht="13.5" customHeight="1" x14ac:dyDescent="0.3">
      <c r="A109" s="676" t="s">
        <v>182</v>
      </c>
      <c r="B109" s="677" t="s">
        <v>131</v>
      </c>
      <c r="C109" s="668"/>
      <c r="D109" s="671" t="s">
        <v>93</v>
      </c>
      <c r="E109" s="671" t="s">
        <v>40</v>
      </c>
      <c r="F109" s="678">
        <f>((78000*3))/S2</f>
        <v>13487.109435789254</v>
      </c>
      <c r="G109" s="671" t="s">
        <v>94</v>
      </c>
      <c r="H109" s="671" t="s">
        <v>94</v>
      </c>
      <c r="I109" s="6" t="s">
        <v>43</v>
      </c>
      <c r="J109" s="19">
        <v>40420</v>
      </c>
      <c r="K109" s="19">
        <v>40436</v>
      </c>
      <c r="L109" s="7"/>
      <c r="M109" s="9">
        <v>40446</v>
      </c>
      <c r="N109" s="7">
        <v>40476</v>
      </c>
      <c r="O109" s="13">
        <v>40492</v>
      </c>
      <c r="P109" s="7">
        <v>40507</v>
      </c>
      <c r="Q109" s="6" t="s">
        <v>43</v>
      </c>
      <c r="R109" s="14"/>
      <c r="S109" s="7">
        <v>40512</v>
      </c>
      <c r="T109" s="7">
        <v>40519</v>
      </c>
      <c r="U109" s="4"/>
      <c r="V109" s="4">
        <v>40762</v>
      </c>
      <c r="W109" s="4">
        <f>V109+365</f>
        <v>41127</v>
      </c>
      <c r="X109" s="12"/>
    </row>
    <row r="110" spans="1:24" x14ac:dyDescent="0.3">
      <c r="A110" s="676"/>
      <c r="B110" s="677"/>
      <c r="C110" s="669"/>
      <c r="D110" s="671"/>
      <c r="E110" s="671"/>
      <c r="F110" s="678"/>
      <c r="G110" s="671"/>
      <c r="H110" s="671"/>
      <c r="I110" s="6" t="s">
        <v>44</v>
      </c>
      <c r="J110" s="151" t="s">
        <v>132</v>
      </c>
      <c r="K110" s="151" t="s">
        <v>133</v>
      </c>
      <c r="L110" s="11"/>
      <c r="M110" s="15" t="s">
        <v>134</v>
      </c>
      <c r="N110" s="7" t="s">
        <v>135</v>
      </c>
      <c r="O110" s="7">
        <v>40913</v>
      </c>
      <c r="P110" s="4">
        <v>40916</v>
      </c>
      <c r="Q110" s="6" t="s">
        <v>44</v>
      </c>
      <c r="R110" s="14"/>
      <c r="S110" s="7" t="s">
        <v>136</v>
      </c>
      <c r="T110" s="19">
        <f>S110+10</f>
        <v>40952</v>
      </c>
      <c r="U110" s="11"/>
      <c r="V110" s="4">
        <f>T110+120</f>
        <v>41072</v>
      </c>
      <c r="W110" s="4">
        <f>V110+365</f>
        <v>41437</v>
      </c>
      <c r="X110" s="12"/>
    </row>
    <row r="111" spans="1:24" x14ac:dyDescent="0.3">
      <c r="A111" s="676"/>
      <c r="B111" s="677"/>
      <c r="C111" s="670"/>
      <c r="D111" s="671"/>
      <c r="E111" s="671"/>
      <c r="F111" s="678"/>
      <c r="G111" s="671"/>
      <c r="H111" s="671"/>
      <c r="I111" s="310"/>
      <c r="J111" s="311"/>
      <c r="K111" s="311"/>
      <c r="L111" s="312"/>
      <c r="M111" s="313"/>
      <c r="N111" s="311"/>
      <c r="O111" s="311"/>
      <c r="P111" s="311"/>
      <c r="Q111" s="310"/>
      <c r="R111" s="314"/>
      <c r="S111" s="315"/>
      <c r="T111" s="311"/>
      <c r="U111" s="315"/>
      <c r="V111" s="316"/>
      <c r="W111" s="316"/>
      <c r="X111" s="317"/>
    </row>
    <row r="112" spans="1:24" ht="14.4" x14ac:dyDescent="0.3">
      <c r="A112" s="155" t="s">
        <v>183</v>
      </c>
      <c r="B112" s="56"/>
      <c r="C112" s="144"/>
      <c r="D112" s="3"/>
      <c r="E112" s="3"/>
      <c r="F112" s="145"/>
      <c r="G112" s="3"/>
      <c r="H112" s="3"/>
      <c r="I112" s="3"/>
      <c r="J112" s="3"/>
      <c r="K112" s="3"/>
      <c r="L112" s="3"/>
      <c r="M112" s="146"/>
      <c r="N112" s="3"/>
      <c r="O112" s="3"/>
      <c r="P112" s="147"/>
      <c r="Q112" s="3"/>
      <c r="R112" s="148"/>
      <c r="S112" s="3"/>
      <c r="T112" s="3"/>
      <c r="U112" s="3"/>
      <c r="V112" s="3"/>
      <c r="W112" s="147"/>
      <c r="X112" s="149"/>
    </row>
    <row r="113" spans="1:24" x14ac:dyDescent="0.3">
      <c r="A113" s="679" t="s">
        <v>184</v>
      </c>
      <c r="B113" s="679" t="s">
        <v>185</v>
      </c>
      <c r="C113" s="682"/>
      <c r="D113" s="682" t="s">
        <v>93</v>
      </c>
      <c r="E113" s="682" t="s">
        <v>40</v>
      </c>
      <c r="F113" s="685">
        <f>78000*10/S2</f>
        <v>44957.031452630843</v>
      </c>
      <c r="G113" s="682" t="s">
        <v>94</v>
      </c>
      <c r="H113" s="682" t="s">
        <v>94</v>
      </c>
      <c r="I113" s="6" t="s">
        <v>43</v>
      </c>
      <c r="J113" s="7">
        <v>41014</v>
      </c>
      <c r="K113" s="7">
        <f>J113+1</f>
        <v>41015</v>
      </c>
      <c r="L113" s="7"/>
      <c r="M113" s="9">
        <f>K113+4</f>
        <v>41019</v>
      </c>
      <c r="N113" s="154">
        <f>M113+35</f>
        <v>41054</v>
      </c>
      <c r="O113" s="13">
        <f>N113+7</f>
        <v>41061</v>
      </c>
      <c r="P113" s="7">
        <f>O113+1</f>
        <v>41062</v>
      </c>
      <c r="Q113" s="6" t="s">
        <v>43</v>
      </c>
      <c r="R113" s="14"/>
      <c r="S113" s="7">
        <f>P113+5</f>
        <v>41067</v>
      </c>
      <c r="T113" s="7">
        <f>S113+10</f>
        <v>41077</v>
      </c>
      <c r="U113" s="4"/>
      <c r="V113" s="4">
        <f>T113+120</f>
        <v>41197</v>
      </c>
      <c r="W113" s="4">
        <f>V113+365</f>
        <v>41562</v>
      </c>
      <c r="X113" s="12"/>
    </row>
    <row r="114" spans="1:24" x14ac:dyDescent="0.3">
      <c r="A114" s="680"/>
      <c r="B114" s="680"/>
      <c r="C114" s="683"/>
      <c r="D114" s="683"/>
      <c r="E114" s="683"/>
      <c r="F114" s="686"/>
      <c r="G114" s="683"/>
      <c r="H114" s="683"/>
      <c r="I114" s="6" t="s">
        <v>50</v>
      </c>
      <c r="J114" s="19">
        <v>41089</v>
      </c>
      <c r="K114" s="11"/>
      <c r="L114" s="19" t="s">
        <v>186</v>
      </c>
      <c r="M114" s="15">
        <f>L114+15</f>
        <v>41119</v>
      </c>
      <c r="N114" s="19">
        <f>M114+30</f>
        <v>41149</v>
      </c>
      <c r="O114" s="13">
        <f>N114+15</f>
        <v>41164</v>
      </c>
      <c r="P114" s="4">
        <f>O114+10</f>
        <v>41174</v>
      </c>
      <c r="Q114" s="6"/>
      <c r="R114" s="10"/>
      <c r="S114" s="4">
        <f>O114+7</f>
        <v>41171</v>
      </c>
      <c r="T114" s="4">
        <f>S114+20</f>
        <v>41191</v>
      </c>
      <c r="U114" s="11"/>
      <c r="V114" s="4">
        <f>T114+120</f>
        <v>41311</v>
      </c>
      <c r="W114" s="4">
        <f>V114+365</f>
        <v>41676</v>
      </c>
      <c r="X114" s="12"/>
    </row>
    <row r="115" spans="1:24" x14ac:dyDescent="0.3">
      <c r="A115" s="680"/>
      <c r="B115" s="680"/>
      <c r="C115" s="683"/>
      <c r="D115" s="683"/>
      <c r="E115" s="683"/>
      <c r="F115" s="686"/>
      <c r="G115" s="683"/>
      <c r="H115" s="683"/>
      <c r="I115" s="6" t="s">
        <v>44</v>
      </c>
      <c r="J115" s="11"/>
      <c r="K115" s="11"/>
      <c r="L115" s="11"/>
      <c r="M115" s="15"/>
      <c r="N115" s="11"/>
      <c r="O115" s="7"/>
      <c r="P115" s="4"/>
      <c r="Q115" s="6" t="s">
        <v>44</v>
      </c>
      <c r="R115" s="10"/>
      <c r="S115" s="11"/>
      <c r="T115" s="11"/>
      <c r="U115" s="11"/>
      <c r="V115" s="11"/>
      <c r="W115" s="4"/>
      <c r="X115" s="12"/>
    </row>
    <row r="116" spans="1:24" x14ac:dyDescent="0.3">
      <c r="A116" s="681"/>
      <c r="B116" s="681"/>
      <c r="C116" s="684"/>
      <c r="D116" s="684"/>
      <c r="E116" s="684"/>
      <c r="F116" s="687"/>
      <c r="G116" s="684"/>
      <c r="H116" s="684"/>
      <c r="I116" s="310"/>
      <c r="J116" s="311"/>
      <c r="K116" s="311"/>
      <c r="L116" s="312"/>
      <c r="M116" s="313"/>
      <c r="N116" s="311"/>
      <c r="O116" s="311"/>
      <c r="P116" s="311"/>
      <c r="Q116" s="310"/>
      <c r="R116" s="314"/>
      <c r="S116" s="315"/>
      <c r="T116" s="311"/>
      <c r="U116" s="315"/>
      <c r="V116" s="316"/>
      <c r="W116" s="316"/>
      <c r="X116" s="317"/>
    </row>
    <row r="117" spans="1:24" x14ac:dyDescent="0.3">
      <c r="A117" s="679" t="s">
        <v>187</v>
      </c>
      <c r="B117" s="679" t="s">
        <v>188</v>
      </c>
      <c r="C117" s="679"/>
      <c r="D117" s="679" t="s">
        <v>93</v>
      </c>
      <c r="E117" s="679" t="s">
        <v>40</v>
      </c>
      <c r="F117" s="711">
        <f>78000*12/S2</f>
        <v>53948.437743157017</v>
      </c>
      <c r="G117" s="679" t="s">
        <v>94</v>
      </c>
      <c r="H117" s="679" t="s">
        <v>94</v>
      </c>
      <c r="I117" s="6" t="s">
        <v>43</v>
      </c>
      <c r="J117" s="7">
        <v>41014</v>
      </c>
      <c r="K117" s="7">
        <f>J117+1</f>
        <v>41015</v>
      </c>
      <c r="L117" s="7"/>
      <c r="M117" s="9">
        <f>K117+4</f>
        <v>41019</v>
      </c>
      <c r="N117" s="7">
        <f>M117+35</f>
        <v>41054</v>
      </c>
      <c r="O117" s="13">
        <f>N117+7</f>
        <v>41061</v>
      </c>
      <c r="P117" s="7">
        <f>O117+1</f>
        <v>41062</v>
      </c>
      <c r="Q117" s="6" t="s">
        <v>43</v>
      </c>
      <c r="R117" s="14"/>
      <c r="S117" s="7">
        <f>P117+5</f>
        <v>41067</v>
      </c>
      <c r="T117" s="7">
        <f>S117+10</f>
        <v>41077</v>
      </c>
      <c r="U117" s="4"/>
      <c r="V117" s="4">
        <f>T117+120</f>
        <v>41197</v>
      </c>
      <c r="W117" s="4">
        <f>V117+365</f>
        <v>41562</v>
      </c>
      <c r="X117" s="12"/>
    </row>
    <row r="118" spans="1:24" x14ac:dyDescent="0.3">
      <c r="A118" s="680"/>
      <c r="B118" s="680"/>
      <c r="C118" s="680"/>
      <c r="D118" s="680"/>
      <c r="E118" s="680"/>
      <c r="F118" s="712"/>
      <c r="G118" s="680"/>
      <c r="H118" s="680"/>
      <c r="I118" s="6" t="s">
        <v>50</v>
      </c>
      <c r="J118" s="19">
        <v>41089</v>
      </c>
      <c r="K118" s="7">
        <f>M118-10</f>
        <v>41109</v>
      </c>
      <c r="L118" s="156" t="s">
        <v>186</v>
      </c>
      <c r="M118" s="15">
        <f>L118+15</f>
        <v>41119</v>
      </c>
      <c r="N118" s="19">
        <f>M118+30</f>
        <v>41149</v>
      </c>
      <c r="O118" s="13">
        <f>N118+15</f>
        <v>41164</v>
      </c>
      <c r="P118" s="4">
        <f>O118+10</f>
        <v>41174</v>
      </c>
      <c r="Q118" s="6"/>
      <c r="R118" s="10"/>
      <c r="S118" s="4">
        <f>O118+7</f>
        <v>41171</v>
      </c>
      <c r="T118" s="4">
        <f>S118+20</f>
        <v>41191</v>
      </c>
      <c r="U118" s="11"/>
      <c r="V118" s="4">
        <f>T118+120</f>
        <v>41311</v>
      </c>
      <c r="W118" s="4">
        <f>V118+365</f>
        <v>41676</v>
      </c>
      <c r="X118" s="12"/>
    </row>
    <row r="119" spans="1:24" x14ac:dyDescent="0.3">
      <c r="A119" s="681"/>
      <c r="B119" s="681"/>
      <c r="C119" s="681"/>
      <c r="D119" s="681"/>
      <c r="E119" s="681"/>
      <c r="F119" s="713"/>
      <c r="G119" s="681"/>
      <c r="H119" s="681"/>
      <c r="I119" s="6" t="s">
        <v>44</v>
      </c>
      <c r="J119" s="11"/>
      <c r="K119" s="11"/>
      <c r="L119" s="11"/>
      <c r="M119" s="15"/>
      <c r="N119" s="11"/>
      <c r="O119" s="7"/>
      <c r="P119" s="4"/>
      <c r="Q119" s="6" t="s">
        <v>44</v>
      </c>
      <c r="R119" s="10"/>
      <c r="S119" s="11"/>
      <c r="T119" s="11"/>
      <c r="U119" s="11"/>
      <c r="V119" s="11"/>
      <c r="W119" s="4"/>
      <c r="X119" s="12"/>
    </row>
    <row r="120" spans="1:24" ht="15.6" x14ac:dyDescent="0.3">
      <c r="A120" s="694" t="s">
        <v>758</v>
      </c>
      <c r="B120" s="695"/>
      <c r="C120" s="695"/>
      <c r="D120" s="695"/>
      <c r="E120" s="695"/>
      <c r="F120" s="695"/>
      <c r="G120" s="695"/>
      <c r="H120" s="695"/>
      <c r="I120" s="695"/>
      <c r="J120" s="695"/>
      <c r="K120" s="695"/>
      <c r="L120" s="695"/>
      <c r="M120" s="695"/>
      <c r="N120" s="695"/>
      <c r="O120" s="695"/>
      <c r="P120" s="695"/>
      <c r="Q120" s="695"/>
      <c r="R120" s="695"/>
      <c r="S120" s="695"/>
      <c r="T120" s="695"/>
      <c r="U120" s="695"/>
      <c r="V120" s="695"/>
      <c r="W120" s="695"/>
      <c r="X120" s="696"/>
    </row>
    <row r="121" spans="1:24" ht="15.6" x14ac:dyDescent="0.3">
      <c r="A121" s="707" t="s">
        <v>189</v>
      </c>
      <c r="B121" s="708"/>
      <c r="C121" s="387"/>
      <c r="D121" s="388"/>
      <c r="E121" s="388"/>
      <c r="F121" s="388"/>
      <c r="G121" s="388"/>
      <c r="H121" s="388"/>
      <c r="I121" s="388"/>
      <c r="J121" s="389"/>
      <c r="K121" s="389"/>
      <c r="L121" s="389"/>
      <c r="M121" s="389"/>
      <c r="N121" s="390"/>
      <c r="O121" s="389"/>
      <c r="P121" s="389"/>
      <c r="Q121" s="388"/>
      <c r="R121" s="389"/>
      <c r="S121" s="389"/>
      <c r="T121" s="391"/>
      <c r="U121" s="388"/>
      <c r="V121" s="388"/>
      <c r="W121" s="388"/>
      <c r="X121" s="392"/>
    </row>
    <row r="122" spans="1:24" x14ac:dyDescent="0.3">
      <c r="A122" s="656" t="s">
        <v>190</v>
      </c>
      <c r="B122" s="659" t="s">
        <v>191</v>
      </c>
      <c r="C122" s="659"/>
      <c r="D122" s="659" t="s">
        <v>93</v>
      </c>
      <c r="E122" s="659" t="s">
        <v>40</v>
      </c>
      <c r="F122" s="662">
        <f>1560000/S2</f>
        <v>89914.062905261686</v>
      </c>
      <c r="G122" s="665" t="s">
        <v>94</v>
      </c>
      <c r="H122" s="665" t="s">
        <v>94</v>
      </c>
      <c r="I122" s="6" t="s">
        <v>43</v>
      </c>
      <c r="J122" s="19">
        <v>39798</v>
      </c>
      <c r="K122" s="19">
        <v>39803</v>
      </c>
      <c r="L122" s="7" t="s">
        <v>192</v>
      </c>
      <c r="M122" s="9">
        <v>39564</v>
      </c>
      <c r="N122" s="7">
        <v>39609</v>
      </c>
      <c r="O122" s="13">
        <v>39629</v>
      </c>
      <c r="P122" s="7">
        <v>39644</v>
      </c>
      <c r="Q122" s="23" t="s">
        <v>43</v>
      </c>
      <c r="R122" s="27"/>
      <c r="S122" s="7">
        <f>P122+8</f>
        <v>39652</v>
      </c>
      <c r="T122" s="7">
        <v>39663</v>
      </c>
      <c r="U122" s="4"/>
      <c r="V122" s="4">
        <f>T122+195</f>
        <v>39858</v>
      </c>
      <c r="W122" s="4">
        <f>V122+365</f>
        <v>40223</v>
      </c>
      <c r="X122" s="12"/>
    </row>
    <row r="123" spans="1:24" x14ac:dyDescent="0.3">
      <c r="A123" s="657"/>
      <c r="B123" s="660"/>
      <c r="C123" s="660"/>
      <c r="D123" s="660"/>
      <c r="E123" s="660"/>
      <c r="F123" s="663"/>
      <c r="G123" s="666"/>
      <c r="H123" s="666"/>
      <c r="I123" s="6" t="s">
        <v>44</v>
      </c>
      <c r="J123" s="19">
        <v>40006</v>
      </c>
      <c r="K123" s="19">
        <v>40011</v>
      </c>
      <c r="L123" s="34" t="s">
        <v>192</v>
      </c>
      <c r="M123" s="15">
        <v>39772</v>
      </c>
      <c r="N123" s="19">
        <v>39817</v>
      </c>
      <c r="O123" s="7">
        <v>39837</v>
      </c>
      <c r="P123" s="4">
        <v>39852</v>
      </c>
      <c r="Q123" s="23" t="s">
        <v>44</v>
      </c>
      <c r="R123" s="27">
        <f>831579.51/13.54</f>
        <v>61416.507385524375</v>
      </c>
      <c r="S123" s="4">
        <f>T123-10</f>
        <v>39861</v>
      </c>
      <c r="T123" s="7">
        <v>39871</v>
      </c>
      <c r="U123" s="11"/>
      <c r="V123" s="4">
        <f>T123+272</f>
        <v>40143</v>
      </c>
      <c r="W123" s="4">
        <f>V123+365</f>
        <v>40508</v>
      </c>
      <c r="X123" s="12"/>
    </row>
    <row r="124" spans="1:24" ht="8.25" customHeight="1" x14ac:dyDescent="0.3">
      <c r="A124" s="658"/>
      <c r="B124" s="661"/>
      <c r="C124" s="661"/>
      <c r="D124" s="661"/>
      <c r="E124" s="661"/>
      <c r="F124" s="664"/>
      <c r="G124" s="667"/>
      <c r="H124" s="667"/>
      <c r="I124" s="310"/>
      <c r="J124" s="311"/>
      <c r="K124" s="311"/>
      <c r="L124" s="312"/>
      <c r="M124" s="313"/>
      <c r="N124" s="311"/>
      <c r="O124" s="311"/>
      <c r="P124" s="311"/>
      <c r="Q124" s="310"/>
      <c r="R124" s="314"/>
      <c r="S124" s="315"/>
      <c r="T124" s="311"/>
      <c r="U124" s="315"/>
      <c r="V124" s="316"/>
      <c r="W124" s="316"/>
      <c r="X124" s="317"/>
    </row>
    <row r="125" spans="1:24" x14ac:dyDescent="0.3">
      <c r="A125" s="656" t="s">
        <v>193</v>
      </c>
      <c r="B125" s="659" t="s">
        <v>194</v>
      </c>
      <c r="C125" s="659"/>
      <c r="D125" s="659" t="s">
        <v>93</v>
      </c>
      <c r="E125" s="659" t="s">
        <v>40</v>
      </c>
      <c r="F125" s="662">
        <f>1560000*2/S2</f>
        <v>179828.12581052337</v>
      </c>
      <c r="G125" s="665" t="s">
        <v>94</v>
      </c>
      <c r="H125" s="665" t="s">
        <v>94</v>
      </c>
      <c r="I125" s="6" t="s">
        <v>43</v>
      </c>
      <c r="J125" s="19">
        <v>39798</v>
      </c>
      <c r="K125" s="19">
        <v>39803</v>
      </c>
      <c r="L125" s="7" t="s">
        <v>192</v>
      </c>
      <c r="M125" s="9">
        <v>39929</v>
      </c>
      <c r="N125" s="7">
        <v>39974</v>
      </c>
      <c r="O125" s="13">
        <v>39994</v>
      </c>
      <c r="P125" s="7">
        <v>40009</v>
      </c>
      <c r="Q125" s="23" t="s">
        <v>43</v>
      </c>
      <c r="R125" s="27"/>
      <c r="S125" s="7">
        <f>P125+8</f>
        <v>40017</v>
      </c>
      <c r="T125" s="7">
        <v>40028</v>
      </c>
      <c r="U125" s="4"/>
      <c r="V125" s="4">
        <f>T126+195</f>
        <v>40160</v>
      </c>
      <c r="W125" s="4">
        <f>V125+365</f>
        <v>40525</v>
      </c>
      <c r="X125" s="12"/>
    </row>
    <row r="126" spans="1:24" x14ac:dyDescent="0.3">
      <c r="A126" s="657"/>
      <c r="B126" s="660"/>
      <c r="C126" s="660"/>
      <c r="D126" s="660"/>
      <c r="E126" s="660"/>
      <c r="F126" s="663"/>
      <c r="G126" s="666"/>
      <c r="H126" s="666"/>
      <c r="I126" s="6" t="s">
        <v>44</v>
      </c>
      <c r="J126" s="19"/>
      <c r="K126" s="19"/>
      <c r="L126" s="34" t="s">
        <v>192</v>
      </c>
      <c r="M126" s="15">
        <v>39873</v>
      </c>
      <c r="N126" s="19">
        <v>39902</v>
      </c>
      <c r="O126" s="7">
        <v>39911</v>
      </c>
      <c r="P126" s="4">
        <v>39934</v>
      </c>
      <c r="Q126" s="23" t="s">
        <v>44</v>
      </c>
      <c r="R126" s="27">
        <f>1502911.4/13.54</f>
        <v>110997.88774002955</v>
      </c>
      <c r="S126" s="4">
        <v>39952</v>
      </c>
      <c r="T126" s="7">
        <v>39965</v>
      </c>
      <c r="U126" s="11"/>
      <c r="V126" s="4">
        <f>T126+280</f>
        <v>40245</v>
      </c>
      <c r="W126" s="21">
        <f>V126+365</f>
        <v>40610</v>
      </c>
      <c r="X126" s="12"/>
    </row>
    <row r="127" spans="1:24" ht="6" customHeight="1" x14ac:dyDescent="0.3">
      <c r="A127" s="658"/>
      <c r="B127" s="661"/>
      <c r="C127" s="661"/>
      <c r="D127" s="661"/>
      <c r="E127" s="661"/>
      <c r="F127" s="664"/>
      <c r="G127" s="667"/>
      <c r="H127" s="667"/>
      <c r="I127" s="310"/>
      <c r="J127" s="311"/>
      <c r="K127" s="311"/>
      <c r="L127" s="312"/>
      <c r="M127" s="313"/>
      <c r="N127" s="311"/>
      <c r="O127" s="311"/>
      <c r="P127" s="311"/>
      <c r="Q127" s="310"/>
      <c r="R127" s="314"/>
      <c r="S127" s="315"/>
      <c r="T127" s="311"/>
      <c r="U127" s="315"/>
      <c r="V127" s="316"/>
      <c r="W127" s="316"/>
      <c r="X127" s="317"/>
    </row>
    <row r="128" spans="1:24" x14ac:dyDescent="0.3">
      <c r="A128" s="656" t="s">
        <v>195</v>
      </c>
      <c r="B128" s="659" t="s">
        <v>196</v>
      </c>
      <c r="C128" s="659"/>
      <c r="D128" s="659" t="s">
        <v>93</v>
      </c>
      <c r="E128" s="659" t="s">
        <v>40</v>
      </c>
      <c r="F128" s="662">
        <f>1485000/S2</f>
        <v>85591.271419431811</v>
      </c>
      <c r="G128" s="665" t="s">
        <v>94</v>
      </c>
      <c r="H128" s="665" t="s">
        <v>94</v>
      </c>
      <c r="I128" s="6" t="s">
        <v>43</v>
      </c>
      <c r="J128" s="19">
        <v>39798</v>
      </c>
      <c r="K128" s="19">
        <v>39803</v>
      </c>
      <c r="L128" s="7" t="s">
        <v>192</v>
      </c>
      <c r="M128" s="9">
        <v>39929</v>
      </c>
      <c r="N128" s="7">
        <v>39974</v>
      </c>
      <c r="O128" s="13">
        <v>39994</v>
      </c>
      <c r="P128" s="7">
        <v>40009</v>
      </c>
      <c r="Q128" s="23" t="s">
        <v>43</v>
      </c>
      <c r="R128" s="27"/>
      <c r="S128" s="7">
        <f>P128+8</f>
        <v>40017</v>
      </c>
      <c r="T128" s="7">
        <v>40028</v>
      </c>
      <c r="U128" s="4"/>
      <c r="V128" s="4">
        <v>40212</v>
      </c>
      <c r="W128" s="21">
        <f>V128+365</f>
        <v>40577</v>
      </c>
      <c r="X128" s="12"/>
    </row>
    <row r="129" spans="1:24" x14ac:dyDescent="0.3">
      <c r="A129" s="657"/>
      <c r="B129" s="660"/>
      <c r="C129" s="660"/>
      <c r="D129" s="660"/>
      <c r="E129" s="660"/>
      <c r="F129" s="663"/>
      <c r="G129" s="666"/>
      <c r="H129" s="666"/>
      <c r="I129" s="6" t="s">
        <v>44</v>
      </c>
      <c r="J129" s="19">
        <v>39735</v>
      </c>
      <c r="K129" s="19">
        <v>39740</v>
      </c>
      <c r="L129" s="34" t="s">
        <v>192</v>
      </c>
      <c r="M129" s="15">
        <v>39866</v>
      </c>
      <c r="N129" s="19">
        <v>39911</v>
      </c>
      <c r="O129" s="7">
        <v>39931</v>
      </c>
      <c r="P129" s="4">
        <v>39946</v>
      </c>
      <c r="Q129" s="23" t="s">
        <v>44</v>
      </c>
      <c r="R129" s="27">
        <f>1135195.74/S2</f>
        <v>65429.526394964807</v>
      </c>
      <c r="S129" s="21">
        <f>T129-10</f>
        <v>39955</v>
      </c>
      <c r="T129" s="7">
        <v>39965</v>
      </c>
      <c r="U129" s="11"/>
      <c r="V129" s="4">
        <f>T129+282</f>
        <v>40247</v>
      </c>
      <c r="W129" s="21">
        <f>V129+365</f>
        <v>40612</v>
      </c>
      <c r="X129" s="12"/>
    </row>
    <row r="130" spans="1:24" ht="7.5" customHeight="1" x14ac:dyDescent="0.3">
      <c r="A130" s="658"/>
      <c r="B130" s="661"/>
      <c r="C130" s="661"/>
      <c r="D130" s="661"/>
      <c r="E130" s="661"/>
      <c r="F130" s="664"/>
      <c r="G130" s="667"/>
      <c r="H130" s="667"/>
      <c r="I130" s="310"/>
      <c r="J130" s="311"/>
      <c r="K130" s="311"/>
      <c r="L130" s="312"/>
      <c r="M130" s="313"/>
      <c r="N130" s="311"/>
      <c r="O130" s="311"/>
      <c r="P130" s="311"/>
      <c r="Q130" s="310"/>
      <c r="R130" s="314"/>
      <c r="S130" s="315"/>
      <c r="T130" s="311"/>
      <c r="U130" s="315"/>
      <c r="V130" s="316"/>
      <c r="W130" s="316"/>
      <c r="X130" s="317"/>
    </row>
    <row r="131" spans="1:24" x14ac:dyDescent="0.3">
      <c r="A131" s="656" t="s">
        <v>197</v>
      </c>
      <c r="B131" s="659" t="s">
        <v>198</v>
      </c>
      <c r="C131" s="659"/>
      <c r="D131" s="659" t="s">
        <v>93</v>
      </c>
      <c r="E131" s="659" t="s">
        <v>40</v>
      </c>
      <c r="F131" s="662">
        <f>1485000/S2</f>
        <v>85591.271419431811</v>
      </c>
      <c r="G131" s="665" t="s">
        <v>94</v>
      </c>
      <c r="H131" s="665" t="s">
        <v>94</v>
      </c>
      <c r="I131" s="6" t="s">
        <v>43</v>
      </c>
      <c r="J131" s="19">
        <v>39798</v>
      </c>
      <c r="K131" s="19">
        <v>39803</v>
      </c>
      <c r="L131" s="7" t="s">
        <v>192</v>
      </c>
      <c r="M131" s="9">
        <v>39929</v>
      </c>
      <c r="N131" s="7">
        <v>39974</v>
      </c>
      <c r="O131" s="13">
        <v>39994</v>
      </c>
      <c r="P131" s="7">
        <v>40009</v>
      </c>
      <c r="Q131" s="23" t="s">
        <v>43</v>
      </c>
      <c r="R131" s="27"/>
      <c r="S131" s="7">
        <f>P131+8</f>
        <v>40017</v>
      </c>
      <c r="T131" s="7">
        <v>40028</v>
      </c>
      <c r="U131" s="4"/>
      <c r="V131" s="4">
        <v>40212</v>
      </c>
      <c r="W131" s="21">
        <f>V131+365</f>
        <v>40577</v>
      </c>
      <c r="X131" s="12"/>
    </row>
    <row r="132" spans="1:24" x14ac:dyDescent="0.3">
      <c r="A132" s="657"/>
      <c r="B132" s="660"/>
      <c r="C132" s="660"/>
      <c r="D132" s="660"/>
      <c r="E132" s="660"/>
      <c r="F132" s="663"/>
      <c r="G132" s="666"/>
      <c r="H132" s="666"/>
      <c r="I132" s="6" t="s">
        <v>44</v>
      </c>
      <c r="J132" s="19">
        <v>40127</v>
      </c>
      <c r="K132" s="19">
        <v>40131</v>
      </c>
      <c r="L132" s="34" t="s">
        <v>192</v>
      </c>
      <c r="M132" s="15">
        <v>39873</v>
      </c>
      <c r="N132" s="19">
        <v>39902</v>
      </c>
      <c r="O132" s="7">
        <v>39911</v>
      </c>
      <c r="P132" s="4">
        <v>39934</v>
      </c>
      <c r="Q132" s="23" t="s">
        <v>44</v>
      </c>
      <c r="R132" s="27">
        <f>1747655.38/S2</f>
        <v>100729.99729105065</v>
      </c>
      <c r="S132" s="7">
        <v>39946</v>
      </c>
      <c r="T132" s="7">
        <v>39965</v>
      </c>
      <c r="U132" s="11"/>
      <c r="V132" s="4">
        <f>T132+170</f>
        <v>40135</v>
      </c>
      <c r="W132" s="21">
        <f>V132+365</f>
        <v>40500</v>
      </c>
      <c r="X132" s="12"/>
    </row>
    <row r="133" spans="1:24" ht="14.25" customHeight="1" x14ac:dyDescent="0.3">
      <c r="A133" s="658"/>
      <c r="B133" s="661"/>
      <c r="C133" s="661"/>
      <c r="D133" s="661"/>
      <c r="E133" s="661"/>
      <c r="F133" s="664"/>
      <c r="G133" s="667"/>
      <c r="H133" s="667"/>
      <c r="I133" s="310"/>
      <c r="J133" s="311"/>
      <c r="K133" s="311"/>
      <c r="L133" s="312"/>
      <c r="M133" s="313"/>
      <c r="N133" s="311"/>
      <c r="O133" s="311"/>
      <c r="P133" s="311"/>
      <c r="Q133" s="310"/>
      <c r="R133" s="314"/>
      <c r="S133" s="315"/>
      <c r="T133" s="311"/>
      <c r="U133" s="315"/>
      <c r="V133" s="316"/>
      <c r="W133" s="316"/>
      <c r="X133" s="317"/>
    </row>
    <row r="134" spans="1:24" ht="14.25" customHeight="1" x14ac:dyDescent="0.3">
      <c r="A134" s="656" t="s">
        <v>199</v>
      </c>
      <c r="B134" s="659" t="s">
        <v>200</v>
      </c>
      <c r="C134" s="659"/>
      <c r="D134" s="659" t="s">
        <v>93</v>
      </c>
      <c r="E134" s="659" t="s">
        <v>40</v>
      </c>
      <c r="F134" s="662">
        <f>1485000/S2</f>
        <v>85591.271419431811</v>
      </c>
      <c r="G134" s="665" t="s">
        <v>94</v>
      </c>
      <c r="H134" s="665" t="s">
        <v>94</v>
      </c>
      <c r="I134" s="6" t="s">
        <v>43</v>
      </c>
      <c r="J134" s="19">
        <v>39798</v>
      </c>
      <c r="K134" s="19">
        <v>39803</v>
      </c>
      <c r="L134" s="7" t="s">
        <v>192</v>
      </c>
      <c r="M134" s="9">
        <v>39929</v>
      </c>
      <c r="N134" s="7">
        <v>39974</v>
      </c>
      <c r="O134" s="13">
        <v>39994</v>
      </c>
      <c r="P134" s="7">
        <v>40009</v>
      </c>
      <c r="Q134" s="23" t="s">
        <v>43</v>
      </c>
      <c r="R134" s="27"/>
      <c r="S134" s="7">
        <f>P134+8</f>
        <v>40017</v>
      </c>
      <c r="T134" s="7">
        <v>40028</v>
      </c>
      <c r="U134" s="4"/>
      <c r="V134" s="4">
        <v>40212</v>
      </c>
      <c r="W134" s="4">
        <v>40827</v>
      </c>
      <c r="X134" s="12"/>
    </row>
    <row r="135" spans="1:24" ht="14.25" customHeight="1" x14ac:dyDescent="0.3">
      <c r="A135" s="657"/>
      <c r="B135" s="660"/>
      <c r="C135" s="660"/>
      <c r="D135" s="660"/>
      <c r="E135" s="660"/>
      <c r="F135" s="663"/>
      <c r="G135" s="666"/>
      <c r="H135" s="666"/>
      <c r="I135" s="6" t="s">
        <v>44</v>
      </c>
      <c r="J135" s="19">
        <v>40127</v>
      </c>
      <c r="K135" s="19">
        <v>40131</v>
      </c>
      <c r="L135" s="34" t="s">
        <v>192</v>
      </c>
      <c r="M135" s="15">
        <v>40409</v>
      </c>
      <c r="N135" s="19">
        <v>40437</v>
      </c>
      <c r="O135" s="7">
        <v>40457</v>
      </c>
      <c r="P135" s="4">
        <v>40459</v>
      </c>
      <c r="Q135" s="23" t="s">
        <v>44</v>
      </c>
      <c r="R135" s="27">
        <f>1996049.58/S2</f>
        <v>115046.74839624435</v>
      </c>
      <c r="S135" s="7">
        <v>40501</v>
      </c>
      <c r="T135" s="7">
        <v>40539</v>
      </c>
      <c r="U135" s="11"/>
      <c r="V135" s="4">
        <f>T135+195</f>
        <v>40734</v>
      </c>
      <c r="W135" s="21">
        <f>V135+365</f>
        <v>41099</v>
      </c>
      <c r="X135" s="12"/>
    </row>
    <row r="136" spans="1:24" ht="14.25" customHeight="1" x14ac:dyDescent="0.3">
      <c r="A136" s="658"/>
      <c r="B136" s="661"/>
      <c r="C136" s="661"/>
      <c r="D136" s="661"/>
      <c r="E136" s="661"/>
      <c r="F136" s="664"/>
      <c r="G136" s="667"/>
      <c r="H136" s="667"/>
      <c r="I136" s="310"/>
      <c r="J136" s="311"/>
      <c r="K136" s="311"/>
      <c r="L136" s="312"/>
      <c r="M136" s="313"/>
      <c r="N136" s="311"/>
      <c r="O136" s="311"/>
      <c r="P136" s="311"/>
      <c r="Q136" s="310"/>
      <c r="R136" s="314"/>
      <c r="S136" s="315"/>
      <c r="T136" s="311"/>
      <c r="U136" s="315"/>
      <c r="V136" s="316"/>
      <c r="W136" s="316"/>
      <c r="X136" s="317"/>
    </row>
    <row r="137" spans="1:24" ht="14.25" customHeight="1" x14ac:dyDescent="0.3">
      <c r="A137" s="656" t="s">
        <v>201</v>
      </c>
      <c r="B137" s="659" t="s">
        <v>202</v>
      </c>
      <c r="C137" s="659"/>
      <c r="D137" s="659" t="s">
        <v>93</v>
      </c>
      <c r="E137" s="659" t="s">
        <v>40</v>
      </c>
      <c r="F137" s="725">
        <f>1485000/S2</f>
        <v>85591.271419431811</v>
      </c>
      <c r="G137" s="675" t="s">
        <v>94</v>
      </c>
      <c r="H137" s="675" t="s">
        <v>94</v>
      </c>
      <c r="I137" s="6" t="s">
        <v>43</v>
      </c>
      <c r="J137" s="19">
        <v>40072</v>
      </c>
      <c r="K137" s="19">
        <v>40076</v>
      </c>
      <c r="L137" s="7" t="s">
        <v>192</v>
      </c>
      <c r="M137" s="9">
        <v>40119</v>
      </c>
      <c r="N137" s="7">
        <v>40164</v>
      </c>
      <c r="O137" s="13">
        <v>40184</v>
      </c>
      <c r="P137" s="7">
        <v>40199</v>
      </c>
      <c r="Q137" s="23" t="s">
        <v>43</v>
      </c>
      <c r="R137" s="27"/>
      <c r="S137" s="7">
        <f>P137+8</f>
        <v>40207</v>
      </c>
      <c r="T137" s="7">
        <v>40212</v>
      </c>
      <c r="U137" s="4"/>
      <c r="V137" s="4">
        <v>40361</v>
      </c>
      <c r="W137" s="21">
        <f>V137+365</f>
        <v>40726</v>
      </c>
      <c r="X137" s="12"/>
    </row>
    <row r="138" spans="1:24" ht="14.25" customHeight="1" x14ac:dyDescent="0.3">
      <c r="A138" s="657"/>
      <c r="B138" s="660"/>
      <c r="C138" s="660"/>
      <c r="D138" s="660"/>
      <c r="E138" s="660"/>
      <c r="F138" s="726"/>
      <c r="G138" s="675"/>
      <c r="H138" s="675"/>
      <c r="I138" s="6" t="s">
        <v>44</v>
      </c>
      <c r="J138" s="19">
        <v>40127</v>
      </c>
      <c r="K138" s="19">
        <v>40131</v>
      </c>
      <c r="L138" s="34" t="s">
        <v>192</v>
      </c>
      <c r="M138" s="15">
        <v>40174</v>
      </c>
      <c r="N138" s="19">
        <v>40219</v>
      </c>
      <c r="O138" s="7">
        <v>40239</v>
      </c>
      <c r="P138" s="4">
        <v>40254</v>
      </c>
      <c r="Q138" s="23" t="s">
        <v>44</v>
      </c>
      <c r="R138" s="27">
        <f>1322420.64/S2</f>
        <v>76220.649110369501</v>
      </c>
      <c r="S138" s="157">
        <f>T138-10</f>
        <v>40257</v>
      </c>
      <c r="T138" s="7">
        <v>40267</v>
      </c>
      <c r="U138" s="11"/>
      <c r="V138" s="4">
        <v>40462</v>
      </c>
      <c r="W138" s="21">
        <f>V138+365</f>
        <v>40827</v>
      </c>
      <c r="X138" s="12"/>
    </row>
    <row r="139" spans="1:24" ht="14.25" customHeight="1" x14ac:dyDescent="0.3">
      <c r="A139" s="658"/>
      <c r="B139" s="661"/>
      <c r="C139" s="661"/>
      <c r="D139" s="661"/>
      <c r="E139" s="661"/>
      <c r="F139" s="727"/>
      <c r="G139" s="55"/>
      <c r="H139" s="55"/>
      <c r="I139" s="310"/>
      <c r="J139" s="311"/>
      <c r="K139" s="311"/>
      <c r="L139" s="312"/>
      <c r="M139" s="313"/>
      <c r="N139" s="311"/>
      <c r="O139" s="311"/>
      <c r="P139" s="311"/>
      <c r="Q139" s="310"/>
      <c r="R139" s="314"/>
      <c r="S139" s="315"/>
      <c r="T139" s="311"/>
      <c r="U139" s="315"/>
      <c r="V139" s="316"/>
      <c r="W139" s="316"/>
      <c r="X139" s="317"/>
    </row>
    <row r="140" spans="1:24" ht="14.25" customHeight="1" x14ac:dyDescent="0.3">
      <c r="A140" s="656" t="s">
        <v>203</v>
      </c>
      <c r="B140" s="659" t="s">
        <v>204</v>
      </c>
      <c r="C140" s="659"/>
      <c r="D140" s="659" t="s">
        <v>93</v>
      </c>
      <c r="E140" s="659" t="s">
        <v>40</v>
      </c>
      <c r="F140" s="725">
        <f>1560000/S2</f>
        <v>89914.062905261686</v>
      </c>
      <c r="G140" s="322" t="s">
        <v>94</v>
      </c>
      <c r="H140" s="322" t="s">
        <v>94</v>
      </c>
      <c r="I140" s="6" t="s">
        <v>43</v>
      </c>
      <c r="J140" s="19">
        <v>40072</v>
      </c>
      <c r="K140" s="19">
        <v>40076</v>
      </c>
      <c r="L140" s="7" t="s">
        <v>192</v>
      </c>
      <c r="M140" s="9">
        <v>40119</v>
      </c>
      <c r="N140" s="7">
        <v>40164</v>
      </c>
      <c r="O140" s="13">
        <v>40184</v>
      </c>
      <c r="P140" s="7">
        <v>40199</v>
      </c>
      <c r="Q140" s="23" t="s">
        <v>43</v>
      </c>
      <c r="R140" s="27"/>
      <c r="S140" s="7">
        <f>P140+8</f>
        <v>40207</v>
      </c>
      <c r="T140" s="7">
        <v>40212</v>
      </c>
      <c r="U140" s="4"/>
      <c r="V140" s="4">
        <v>40361</v>
      </c>
      <c r="W140" s="21">
        <f>V140+365</f>
        <v>40726</v>
      </c>
      <c r="X140" s="12"/>
    </row>
    <row r="141" spans="1:24" ht="14.25" customHeight="1" x14ac:dyDescent="0.3">
      <c r="A141" s="657"/>
      <c r="B141" s="660"/>
      <c r="C141" s="660"/>
      <c r="D141" s="660"/>
      <c r="E141" s="660"/>
      <c r="F141" s="726"/>
      <c r="G141" s="323"/>
      <c r="H141" s="323"/>
      <c r="I141" s="6" t="s">
        <v>44</v>
      </c>
      <c r="J141" s="19">
        <v>39976</v>
      </c>
      <c r="K141" s="19">
        <v>39980</v>
      </c>
      <c r="L141" s="34" t="s">
        <v>192</v>
      </c>
      <c r="M141" s="15">
        <v>40023</v>
      </c>
      <c r="N141" s="19">
        <v>40068</v>
      </c>
      <c r="O141" s="7">
        <v>40088</v>
      </c>
      <c r="P141" s="4">
        <f>T141-(T140-P140)</f>
        <v>40234</v>
      </c>
      <c r="Q141" s="23" t="s">
        <v>44</v>
      </c>
      <c r="R141" s="27">
        <f>1245807.91/S2</f>
        <v>71804.904351033707</v>
      </c>
      <c r="S141" s="21">
        <f>T141-10</f>
        <v>40237</v>
      </c>
      <c r="T141" s="7">
        <v>40247</v>
      </c>
      <c r="U141" s="11"/>
      <c r="V141" s="4">
        <v>40442</v>
      </c>
      <c r="W141" s="4">
        <v>40807</v>
      </c>
      <c r="X141" s="12"/>
    </row>
    <row r="142" spans="1:24" ht="14.25" customHeight="1" x14ac:dyDescent="0.3">
      <c r="A142" s="658"/>
      <c r="B142" s="661"/>
      <c r="C142" s="661"/>
      <c r="D142" s="661"/>
      <c r="E142" s="661"/>
      <c r="F142" s="727"/>
      <c r="G142" s="297"/>
      <c r="H142" s="297"/>
      <c r="I142" s="310"/>
      <c r="J142" s="311"/>
      <c r="K142" s="311"/>
      <c r="L142" s="312"/>
      <c r="M142" s="313"/>
      <c r="N142" s="311"/>
      <c r="O142" s="311"/>
      <c r="P142" s="311"/>
      <c r="Q142" s="310"/>
      <c r="R142" s="314"/>
      <c r="S142" s="315"/>
      <c r="T142" s="311"/>
      <c r="U142" s="315"/>
      <c r="V142" s="316"/>
      <c r="W142" s="316"/>
      <c r="X142" s="317"/>
    </row>
    <row r="143" spans="1:24" ht="14.25" customHeight="1" x14ac:dyDescent="0.3">
      <c r="A143" s="656" t="s">
        <v>205</v>
      </c>
      <c r="B143" s="659" t="s">
        <v>206</v>
      </c>
      <c r="C143" s="659"/>
      <c r="D143" s="659" t="s">
        <v>93</v>
      </c>
      <c r="E143" s="659" t="s">
        <v>40</v>
      </c>
      <c r="F143" s="725">
        <f>1560000/S2</f>
        <v>89914.062905261686</v>
      </c>
      <c r="G143" s="322" t="s">
        <v>94</v>
      </c>
      <c r="H143" s="322" t="s">
        <v>94</v>
      </c>
      <c r="I143" s="6" t="s">
        <v>43</v>
      </c>
      <c r="J143" s="19">
        <v>40072</v>
      </c>
      <c r="K143" s="19">
        <v>40076</v>
      </c>
      <c r="L143" s="7" t="s">
        <v>192</v>
      </c>
      <c r="M143" s="9">
        <v>40119</v>
      </c>
      <c r="N143" s="7">
        <v>40164</v>
      </c>
      <c r="O143" s="13">
        <v>40184</v>
      </c>
      <c r="P143" s="7">
        <v>40199</v>
      </c>
      <c r="Q143" s="23" t="s">
        <v>43</v>
      </c>
      <c r="R143" s="27"/>
      <c r="S143" s="7">
        <f>P143+8</f>
        <v>40207</v>
      </c>
      <c r="T143" s="7">
        <v>40212</v>
      </c>
      <c r="U143" s="4"/>
      <c r="V143" s="4">
        <v>40361</v>
      </c>
      <c r="W143" s="21">
        <f>V143+365</f>
        <v>40726</v>
      </c>
      <c r="X143" s="12"/>
    </row>
    <row r="144" spans="1:24" ht="14.25" customHeight="1" x14ac:dyDescent="0.3">
      <c r="A144" s="657"/>
      <c r="B144" s="660"/>
      <c r="C144" s="660"/>
      <c r="D144" s="660"/>
      <c r="E144" s="660"/>
      <c r="F144" s="726"/>
      <c r="G144" s="323"/>
      <c r="H144" s="323"/>
      <c r="I144" s="6" t="s">
        <v>44</v>
      </c>
      <c r="J144" s="19">
        <v>39976</v>
      </c>
      <c r="K144" s="19">
        <v>39980</v>
      </c>
      <c r="L144" s="34" t="s">
        <v>192</v>
      </c>
      <c r="M144" s="15">
        <v>40023</v>
      </c>
      <c r="N144" s="19">
        <v>40068</v>
      </c>
      <c r="O144" s="7">
        <v>40088</v>
      </c>
      <c r="P144" s="4">
        <v>40103</v>
      </c>
      <c r="Q144" s="23" t="s">
        <v>44</v>
      </c>
      <c r="R144" s="27">
        <f>1394734.33/S2</f>
        <v>80388.609156248742</v>
      </c>
      <c r="S144" s="13">
        <f>T144-10</f>
        <v>40106</v>
      </c>
      <c r="T144" s="7">
        <v>40116</v>
      </c>
      <c r="U144" s="11"/>
      <c r="V144" s="4">
        <v>40442</v>
      </c>
      <c r="W144" s="4">
        <v>40807</v>
      </c>
      <c r="X144" s="12"/>
    </row>
    <row r="145" spans="1:24" ht="14.25" customHeight="1" x14ac:dyDescent="0.3">
      <c r="A145" s="658"/>
      <c r="B145" s="661"/>
      <c r="C145" s="661"/>
      <c r="D145" s="661"/>
      <c r="E145" s="661"/>
      <c r="F145" s="727"/>
      <c r="G145" s="297"/>
      <c r="H145" s="297"/>
      <c r="I145" s="310"/>
      <c r="J145" s="311"/>
      <c r="K145" s="311"/>
      <c r="L145" s="312"/>
      <c r="M145" s="313"/>
      <c r="N145" s="311"/>
      <c r="O145" s="311"/>
      <c r="P145" s="311"/>
      <c r="Q145" s="310"/>
      <c r="R145" s="314"/>
      <c r="S145" s="315"/>
      <c r="T145" s="311"/>
      <c r="U145" s="315"/>
      <c r="V145" s="316"/>
      <c r="W145" s="316"/>
      <c r="X145" s="317"/>
    </row>
    <row r="146" spans="1:24" ht="14.25" customHeight="1" x14ac:dyDescent="0.3">
      <c r="A146" s="656" t="s">
        <v>207</v>
      </c>
      <c r="B146" s="659" t="s">
        <v>208</v>
      </c>
      <c r="C146" s="659"/>
      <c r="D146" s="659" t="s">
        <v>93</v>
      </c>
      <c r="E146" s="659" t="s">
        <v>40</v>
      </c>
      <c r="F146" s="725">
        <f>1560000/S2</f>
        <v>89914.062905261686</v>
      </c>
      <c r="G146" s="322" t="s">
        <v>94</v>
      </c>
      <c r="H146" s="322" t="s">
        <v>94</v>
      </c>
      <c r="I146" s="6" t="s">
        <v>43</v>
      </c>
      <c r="J146" s="19">
        <v>40072</v>
      </c>
      <c r="K146" s="19">
        <v>40076</v>
      </c>
      <c r="L146" s="7" t="s">
        <v>192</v>
      </c>
      <c r="M146" s="9">
        <v>40119</v>
      </c>
      <c r="N146" s="7">
        <v>40164</v>
      </c>
      <c r="O146" s="13">
        <v>40184</v>
      </c>
      <c r="P146" s="7">
        <v>40199</v>
      </c>
      <c r="Q146" s="23" t="s">
        <v>43</v>
      </c>
      <c r="R146" s="27"/>
      <c r="S146" s="7">
        <f>P146+8</f>
        <v>40207</v>
      </c>
      <c r="T146" s="7">
        <v>40212</v>
      </c>
      <c r="U146" s="4"/>
      <c r="V146" s="4">
        <f>T147+195</f>
        <v>40462</v>
      </c>
      <c r="W146" s="4">
        <f>V146+365</f>
        <v>40827</v>
      </c>
      <c r="X146" s="12"/>
    </row>
    <row r="147" spans="1:24" ht="14.25" customHeight="1" x14ac:dyDescent="0.3">
      <c r="A147" s="657"/>
      <c r="B147" s="660"/>
      <c r="C147" s="660"/>
      <c r="D147" s="660"/>
      <c r="E147" s="660"/>
      <c r="F147" s="726"/>
      <c r="G147" s="323"/>
      <c r="H147" s="323"/>
      <c r="I147" s="6" t="s">
        <v>44</v>
      </c>
      <c r="J147" s="19">
        <v>39976</v>
      </c>
      <c r="K147" s="19">
        <v>39980</v>
      </c>
      <c r="L147" s="34" t="s">
        <v>192</v>
      </c>
      <c r="M147" s="15">
        <v>40023</v>
      </c>
      <c r="N147" s="19">
        <v>40068</v>
      </c>
      <c r="O147" s="7">
        <v>40088</v>
      </c>
      <c r="P147" s="4">
        <v>40254</v>
      </c>
      <c r="Q147" s="23" t="s">
        <v>44</v>
      </c>
      <c r="R147" s="27">
        <f>2153696.41/S2</f>
        <v>124133.07338947199</v>
      </c>
      <c r="S147" s="21">
        <f>T147-10</f>
        <v>40257</v>
      </c>
      <c r="T147" s="7">
        <v>40267</v>
      </c>
      <c r="U147" s="11"/>
      <c r="V147" s="4">
        <f>T147+215</f>
        <v>40482</v>
      </c>
      <c r="W147" s="21">
        <f>V147+365</f>
        <v>40847</v>
      </c>
      <c r="X147" s="12"/>
    </row>
    <row r="148" spans="1:24" ht="14.25" customHeight="1" x14ac:dyDescent="0.3">
      <c r="A148" s="658"/>
      <c r="B148" s="661"/>
      <c r="C148" s="661"/>
      <c r="D148" s="661"/>
      <c r="E148" s="661"/>
      <c r="F148" s="727"/>
      <c r="G148" s="297"/>
      <c r="H148" s="297"/>
      <c r="I148" s="310"/>
      <c r="J148" s="311"/>
      <c r="K148" s="311"/>
      <c r="L148" s="312"/>
      <c r="M148" s="313"/>
      <c r="N148" s="311"/>
      <c r="O148" s="311"/>
      <c r="P148" s="311"/>
      <c r="Q148" s="310"/>
      <c r="R148" s="314"/>
      <c r="S148" s="315"/>
      <c r="T148" s="311"/>
      <c r="U148" s="315"/>
      <c r="V148" s="316"/>
      <c r="W148" s="316"/>
      <c r="X148" s="317"/>
    </row>
    <row r="149" spans="1:24" ht="14.25" customHeight="1" x14ac:dyDescent="0.3">
      <c r="A149" s="656" t="s">
        <v>209</v>
      </c>
      <c r="B149" s="659" t="s">
        <v>210</v>
      </c>
      <c r="C149" s="659"/>
      <c r="D149" s="659" t="s">
        <v>93</v>
      </c>
      <c r="E149" s="659" t="s">
        <v>40</v>
      </c>
      <c r="F149" s="725">
        <f>1560000/$S$2</f>
        <v>89914.062905261686</v>
      </c>
      <c r="G149" s="322" t="s">
        <v>94</v>
      </c>
      <c r="H149" s="322" t="s">
        <v>94</v>
      </c>
      <c r="I149" s="6" t="s">
        <v>43</v>
      </c>
      <c r="J149" s="19">
        <v>40072</v>
      </c>
      <c r="K149" s="19">
        <v>40076</v>
      </c>
      <c r="L149" s="7" t="s">
        <v>192</v>
      </c>
      <c r="M149" s="9">
        <v>40119</v>
      </c>
      <c r="N149" s="7">
        <v>40164</v>
      </c>
      <c r="O149" s="13">
        <v>40184</v>
      </c>
      <c r="P149" s="7">
        <v>40199</v>
      </c>
      <c r="Q149" s="23" t="s">
        <v>43</v>
      </c>
      <c r="R149" s="27"/>
      <c r="S149" s="7">
        <f>P149+8</f>
        <v>40207</v>
      </c>
      <c r="T149" s="7">
        <v>40212</v>
      </c>
      <c r="U149" s="4"/>
      <c r="V149" s="16">
        <f>T150+195</f>
        <v>40311</v>
      </c>
      <c r="W149" s="4">
        <f>V149+365</f>
        <v>40676</v>
      </c>
      <c r="X149" s="12"/>
    </row>
    <row r="150" spans="1:24" ht="14.25" customHeight="1" x14ac:dyDescent="0.3">
      <c r="A150" s="657"/>
      <c r="B150" s="660"/>
      <c r="C150" s="660"/>
      <c r="D150" s="660"/>
      <c r="E150" s="660"/>
      <c r="F150" s="726"/>
      <c r="G150" s="323"/>
      <c r="H150" s="323"/>
      <c r="I150" s="6" t="s">
        <v>44</v>
      </c>
      <c r="J150" s="19">
        <v>39976</v>
      </c>
      <c r="K150" s="19">
        <v>39980</v>
      </c>
      <c r="L150" s="34" t="s">
        <v>192</v>
      </c>
      <c r="M150" s="15">
        <v>40023</v>
      </c>
      <c r="N150" s="19">
        <v>40068</v>
      </c>
      <c r="O150" s="7">
        <v>40088</v>
      </c>
      <c r="P150" s="4">
        <v>40103</v>
      </c>
      <c r="Q150" s="23" t="s">
        <v>44</v>
      </c>
      <c r="R150" s="195">
        <f>932905.3/S2</f>
        <v>53770.067839007716</v>
      </c>
      <c r="S150" s="7">
        <v>40109</v>
      </c>
      <c r="T150" s="7">
        <v>40116</v>
      </c>
      <c r="U150" s="11"/>
      <c r="V150" s="4">
        <f>T150+224</f>
        <v>40340</v>
      </c>
      <c r="W150" s="21">
        <f>V150+365</f>
        <v>40705</v>
      </c>
      <c r="X150" s="12"/>
    </row>
    <row r="151" spans="1:24" ht="14.25" customHeight="1" x14ac:dyDescent="0.3">
      <c r="A151" s="658"/>
      <c r="B151" s="661"/>
      <c r="C151" s="661"/>
      <c r="D151" s="661"/>
      <c r="E151" s="661"/>
      <c r="F151" s="727"/>
      <c r="G151" s="297"/>
      <c r="H151" s="297"/>
      <c r="I151" s="310"/>
      <c r="J151" s="311"/>
      <c r="K151" s="311"/>
      <c r="L151" s="312"/>
      <c r="M151" s="313"/>
      <c r="N151" s="311"/>
      <c r="O151" s="311"/>
      <c r="P151" s="311"/>
      <c r="Q151" s="310"/>
      <c r="R151" s="314"/>
      <c r="S151" s="315"/>
      <c r="T151" s="311"/>
      <c r="U151" s="315"/>
      <c r="V151" s="316"/>
      <c r="W151" s="316"/>
      <c r="X151" s="317"/>
    </row>
    <row r="152" spans="1:24" ht="14.25" customHeight="1" x14ac:dyDescent="0.3">
      <c r="A152" s="656" t="s">
        <v>211</v>
      </c>
      <c r="B152" s="659" t="s">
        <v>212</v>
      </c>
      <c r="C152" s="659"/>
      <c r="D152" s="659" t="s">
        <v>93</v>
      </c>
      <c r="E152" s="659" t="s">
        <v>40</v>
      </c>
      <c r="F152" s="725">
        <f>1560000/$S$2</f>
        <v>89914.062905261686</v>
      </c>
      <c r="G152" s="322" t="s">
        <v>94</v>
      </c>
      <c r="H152" s="322" t="s">
        <v>94</v>
      </c>
      <c r="I152" s="6" t="s">
        <v>43</v>
      </c>
      <c r="J152" s="19">
        <v>40072</v>
      </c>
      <c r="K152" s="19">
        <v>40076</v>
      </c>
      <c r="L152" s="7" t="s">
        <v>192</v>
      </c>
      <c r="M152" s="9">
        <v>40119</v>
      </c>
      <c r="N152" s="7">
        <v>40164</v>
      </c>
      <c r="O152" s="13">
        <v>40184</v>
      </c>
      <c r="P152" s="7">
        <v>40199</v>
      </c>
      <c r="Q152" s="23" t="s">
        <v>43</v>
      </c>
      <c r="R152" s="27"/>
      <c r="S152" s="7">
        <f>P152+8</f>
        <v>40207</v>
      </c>
      <c r="T152" s="7">
        <v>40212</v>
      </c>
      <c r="U152" s="4"/>
      <c r="V152" s="16">
        <f>T153+195</f>
        <v>40311</v>
      </c>
      <c r="W152" s="4">
        <f>V152+365</f>
        <v>40676</v>
      </c>
      <c r="X152" s="12"/>
    </row>
    <row r="153" spans="1:24" ht="14.25" customHeight="1" x14ac:dyDescent="0.3">
      <c r="A153" s="657"/>
      <c r="B153" s="660"/>
      <c r="C153" s="660"/>
      <c r="D153" s="660"/>
      <c r="E153" s="660"/>
      <c r="F153" s="726"/>
      <c r="G153" s="323"/>
      <c r="H153" s="323"/>
      <c r="I153" s="6" t="s">
        <v>44</v>
      </c>
      <c r="J153" s="19">
        <v>39976</v>
      </c>
      <c r="K153" s="19">
        <v>39980</v>
      </c>
      <c r="L153" s="34" t="s">
        <v>192</v>
      </c>
      <c r="M153" s="15">
        <v>40023</v>
      </c>
      <c r="N153" s="19">
        <v>40068</v>
      </c>
      <c r="O153" s="7">
        <v>40088</v>
      </c>
      <c r="P153" s="4">
        <v>40103</v>
      </c>
      <c r="Q153" s="23" t="s">
        <v>44</v>
      </c>
      <c r="R153" s="27">
        <f>960824.63/S2</f>
        <v>55379.26039919538</v>
      </c>
      <c r="S153" s="7">
        <v>40109</v>
      </c>
      <c r="T153" s="7">
        <v>40116</v>
      </c>
      <c r="U153" s="11"/>
      <c r="V153" s="16">
        <f>T153+265</f>
        <v>40381</v>
      </c>
      <c r="W153" s="21">
        <f>V153+365</f>
        <v>40746</v>
      </c>
      <c r="X153" s="12"/>
    </row>
    <row r="154" spans="1:24" ht="14.25" customHeight="1" x14ac:dyDescent="0.3">
      <c r="A154" s="658"/>
      <c r="B154" s="661"/>
      <c r="C154" s="661"/>
      <c r="D154" s="661"/>
      <c r="E154" s="661"/>
      <c r="F154" s="727"/>
      <c r="G154" s="297"/>
      <c r="H154" s="297"/>
      <c r="I154" s="310"/>
      <c r="J154" s="311"/>
      <c r="K154" s="311"/>
      <c r="L154" s="312"/>
      <c r="M154" s="313"/>
      <c r="N154" s="311"/>
      <c r="O154" s="311"/>
      <c r="P154" s="311"/>
      <c r="Q154" s="310"/>
      <c r="R154" s="314"/>
      <c r="S154" s="315"/>
      <c r="T154" s="311"/>
      <c r="U154" s="315"/>
      <c r="V154" s="316"/>
      <c r="W154" s="316"/>
      <c r="X154" s="317"/>
    </row>
    <row r="155" spans="1:24" ht="14.25" customHeight="1" x14ac:dyDescent="0.3">
      <c r="A155" s="656" t="s">
        <v>213</v>
      </c>
      <c r="B155" s="722" t="s">
        <v>214</v>
      </c>
      <c r="C155" s="659"/>
      <c r="D155" s="659" t="s">
        <v>93</v>
      </c>
      <c r="E155" s="659" t="s">
        <v>40</v>
      </c>
      <c r="F155" s="725">
        <f>1485000/S2</f>
        <v>85591.271419431811</v>
      </c>
      <c r="G155" s="322" t="s">
        <v>94</v>
      </c>
      <c r="H155" s="322" t="s">
        <v>94</v>
      </c>
      <c r="I155" s="6" t="s">
        <v>43</v>
      </c>
      <c r="J155" s="19">
        <v>40410</v>
      </c>
      <c r="K155" s="19">
        <v>40426</v>
      </c>
      <c r="L155" s="7" t="s">
        <v>192</v>
      </c>
      <c r="M155" s="9">
        <v>40436</v>
      </c>
      <c r="N155" s="7">
        <v>40466</v>
      </c>
      <c r="O155" s="13">
        <v>40481</v>
      </c>
      <c r="P155" s="7">
        <v>40497</v>
      </c>
      <c r="Q155" s="23" t="s">
        <v>43</v>
      </c>
      <c r="R155" s="27"/>
      <c r="S155" s="13">
        <v>40502</v>
      </c>
      <c r="T155" s="7">
        <v>40509</v>
      </c>
      <c r="U155" s="4"/>
      <c r="V155" s="16">
        <f>T156+195</f>
        <v>40728</v>
      </c>
      <c r="W155" s="4">
        <f>V155+365</f>
        <v>41093</v>
      </c>
      <c r="X155" s="12"/>
    </row>
    <row r="156" spans="1:24" ht="14.25" customHeight="1" x14ac:dyDescent="0.3">
      <c r="A156" s="657"/>
      <c r="B156" s="723"/>
      <c r="C156" s="660"/>
      <c r="D156" s="660"/>
      <c r="E156" s="660"/>
      <c r="F156" s="726"/>
      <c r="G156" s="323"/>
      <c r="H156" s="323"/>
      <c r="I156" s="6" t="s">
        <v>44</v>
      </c>
      <c r="J156" s="19">
        <v>40434</v>
      </c>
      <c r="K156" s="19">
        <v>40450</v>
      </c>
      <c r="L156" s="34" t="s">
        <v>192</v>
      </c>
      <c r="M156" s="15">
        <v>40460</v>
      </c>
      <c r="N156" s="19">
        <v>40490</v>
      </c>
      <c r="O156" s="7">
        <v>40505</v>
      </c>
      <c r="P156" s="7">
        <v>40521</v>
      </c>
      <c r="Q156" s="23" t="s">
        <v>44</v>
      </c>
      <c r="R156" s="27">
        <f>1884812.68/S2</f>
        <v>108635.36273984287</v>
      </c>
      <c r="S156" s="7">
        <v>40528</v>
      </c>
      <c r="T156" s="7">
        <v>40533</v>
      </c>
      <c r="U156" s="11"/>
      <c r="V156" s="16">
        <f>T156+244</f>
        <v>40777</v>
      </c>
      <c r="W156" s="21">
        <f>V156+365</f>
        <v>41142</v>
      </c>
      <c r="X156" s="12"/>
    </row>
    <row r="157" spans="1:24" ht="14.25" customHeight="1" x14ac:dyDescent="0.3">
      <c r="A157" s="658"/>
      <c r="B157" s="724"/>
      <c r="C157" s="661"/>
      <c r="D157" s="661"/>
      <c r="E157" s="661"/>
      <c r="F157" s="727"/>
      <c r="G157" s="297"/>
      <c r="H157" s="297"/>
      <c r="I157" s="310"/>
      <c r="J157" s="311"/>
      <c r="K157" s="311"/>
      <c r="L157" s="312"/>
      <c r="M157" s="313"/>
      <c r="N157" s="311"/>
      <c r="O157" s="311"/>
      <c r="P157" s="311"/>
      <c r="Q157" s="310"/>
      <c r="R157" s="314"/>
      <c r="S157" s="315"/>
      <c r="T157" s="311"/>
      <c r="U157" s="315"/>
      <c r="V157" s="316"/>
      <c r="W157" s="316"/>
      <c r="X157" s="317"/>
    </row>
    <row r="158" spans="1:24" ht="14.25" customHeight="1" x14ac:dyDescent="0.3">
      <c r="A158" s="656" t="s">
        <v>215</v>
      </c>
      <c r="B158" s="722" t="s">
        <v>216</v>
      </c>
      <c r="C158" s="659"/>
      <c r="D158" s="659" t="s">
        <v>93</v>
      </c>
      <c r="E158" s="659" t="s">
        <v>40</v>
      </c>
      <c r="F158" s="725">
        <f>1485000/S2</f>
        <v>85591.271419431811</v>
      </c>
      <c r="G158" s="322" t="s">
        <v>94</v>
      </c>
      <c r="H158" s="322" t="s">
        <v>94</v>
      </c>
      <c r="I158" s="6" t="s">
        <v>43</v>
      </c>
      <c r="J158" s="19">
        <v>40410</v>
      </c>
      <c r="K158" s="19">
        <v>40426</v>
      </c>
      <c r="L158" s="7" t="s">
        <v>192</v>
      </c>
      <c r="M158" s="9">
        <v>40436</v>
      </c>
      <c r="N158" s="7">
        <v>40466</v>
      </c>
      <c r="O158" s="13">
        <v>40481</v>
      </c>
      <c r="P158" s="29">
        <v>40862</v>
      </c>
      <c r="Q158" s="23" t="s">
        <v>43</v>
      </c>
      <c r="R158" s="27"/>
      <c r="S158" s="13">
        <v>40502</v>
      </c>
      <c r="T158" s="7">
        <v>40509</v>
      </c>
      <c r="U158" s="21"/>
      <c r="V158" s="16">
        <v>40690</v>
      </c>
      <c r="W158" s="4">
        <f>V158+365</f>
        <v>41055</v>
      </c>
      <c r="X158" s="12"/>
    </row>
    <row r="159" spans="1:24" ht="14.25" customHeight="1" x14ac:dyDescent="0.3">
      <c r="A159" s="657"/>
      <c r="B159" s="723"/>
      <c r="C159" s="660"/>
      <c r="D159" s="660"/>
      <c r="E159" s="660"/>
      <c r="F159" s="726"/>
      <c r="G159" s="323"/>
      <c r="H159" s="323"/>
      <c r="I159" s="6" t="s">
        <v>44</v>
      </c>
      <c r="J159" s="19">
        <v>40434</v>
      </c>
      <c r="K159" s="19">
        <v>40450</v>
      </c>
      <c r="L159" s="34" t="s">
        <v>192</v>
      </c>
      <c r="M159" s="15">
        <v>40460</v>
      </c>
      <c r="N159" s="19">
        <v>40490</v>
      </c>
      <c r="O159" s="7">
        <v>40505</v>
      </c>
      <c r="P159" s="4">
        <v>40886</v>
      </c>
      <c r="Q159" s="23" t="s">
        <v>44</v>
      </c>
      <c r="R159" s="27">
        <f>2831246.89/S2</f>
        <v>163185.19933832472</v>
      </c>
      <c r="S159" s="7">
        <v>40528</v>
      </c>
      <c r="T159" s="4">
        <v>40533</v>
      </c>
      <c r="U159" s="21"/>
      <c r="V159" s="16">
        <f>T159+235</f>
        <v>40768</v>
      </c>
      <c r="W159" s="4">
        <f>V159+365</f>
        <v>41133</v>
      </c>
      <c r="X159" s="12"/>
    </row>
    <row r="160" spans="1:24" ht="14.25" customHeight="1" x14ac:dyDescent="0.3">
      <c r="A160" s="658"/>
      <c r="B160" s="724"/>
      <c r="C160" s="661"/>
      <c r="D160" s="661"/>
      <c r="E160" s="661"/>
      <c r="F160" s="727"/>
      <c r="G160" s="297"/>
      <c r="H160" s="297"/>
      <c r="I160" s="310"/>
      <c r="J160" s="311"/>
      <c r="K160" s="311"/>
      <c r="L160" s="312"/>
      <c r="M160" s="313"/>
      <c r="N160" s="311"/>
      <c r="O160" s="311"/>
      <c r="P160" s="311"/>
      <c r="Q160" s="310"/>
      <c r="R160" s="314"/>
      <c r="S160" s="315"/>
      <c r="T160" s="311"/>
      <c r="U160" s="315"/>
      <c r="V160" s="316"/>
      <c r="W160" s="316"/>
      <c r="X160" s="317"/>
    </row>
    <row r="161" spans="1:24" ht="14.25" customHeight="1" x14ac:dyDescent="0.3">
      <c r="A161" s="656" t="s">
        <v>217</v>
      </c>
      <c r="B161" s="722" t="s">
        <v>218</v>
      </c>
      <c r="C161" s="659"/>
      <c r="D161" s="659" t="s">
        <v>93</v>
      </c>
      <c r="E161" s="659" t="s">
        <v>40</v>
      </c>
      <c r="F161" s="725">
        <f>1485000/S2</f>
        <v>85591.271419431811</v>
      </c>
      <c r="G161" s="322" t="s">
        <v>94</v>
      </c>
      <c r="H161" s="322" t="s">
        <v>94</v>
      </c>
      <c r="I161" s="6" t="s">
        <v>43</v>
      </c>
      <c r="J161" s="19">
        <v>40410</v>
      </c>
      <c r="K161" s="19">
        <v>40426</v>
      </c>
      <c r="L161" s="7"/>
      <c r="M161" s="9">
        <v>40436</v>
      </c>
      <c r="N161" s="7">
        <v>40466</v>
      </c>
      <c r="O161" s="13">
        <v>40481</v>
      </c>
      <c r="P161" s="29">
        <v>40862</v>
      </c>
      <c r="Q161" s="23" t="s">
        <v>43</v>
      </c>
      <c r="R161" s="27"/>
      <c r="S161" s="13">
        <v>40502</v>
      </c>
      <c r="T161" s="7">
        <v>40509</v>
      </c>
      <c r="U161" s="21"/>
      <c r="V161" s="16">
        <f>T162+195</f>
        <v>40728</v>
      </c>
      <c r="W161" s="4">
        <f>V161+365</f>
        <v>41093</v>
      </c>
      <c r="X161" s="12"/>
    </row>
    <row r="162" spans="1:24" ht="14.25" customHeight="1" x14ac:dyDescent="0.3">
      <c r="A162" s="657"/>
      <c r="B162" s="723"/>
      <c r="C162" s="660"/>
      <c r="D162" s="660"/>
      <c r="E162" s="660"/>
      <c r="F162" s="726"/>
      <c r="G162" s="323"/>
      <c r="H162" s="323"/>
      <c r="I162" s="6" t="s">
        <v>44</v>
      </c>
      <c r="J162" s="19">
        <v>40434</v>
      </c>
      <c r="K162" s="19">
        <v>40450</v>
      </c>
      <c r="L162" s="11"/>
      <c r="M162" s="15">
        <v>40460</v>
      </c>
      <c r="N162" s="19">
        <v>40490</v>
      </c>
      <c r="O162" s="7">
        <v>40505</v>
      </c>
      <c r="P162" s="4">
        <v>40886</v>
      </c>
      <c r="Q162" s="23" t="s">
        <v>44</v>
      </c>
      <c r="R162" s="27">
        <f>605821.23/S2</f>
        <v>34917.851399719875</v>
      </c>
      <c r="S162" s="7">
        <v>40528</v>
      </c>
      <c r="T162" s="4">
        <v>40533</v>
      </c>
      <c r="U162" s="21"/>
      <c r="V162" s="16">
        <f>T162+120</f>
        <v>40653</v>
      </c>
      <c r="W162" s="21">
        <f>V162+365</f>
        <v>41018</v>
      </c>
      <c r="X162" s="12"/>
    </row>
    <row r="163" spans="1:24" ht="14.25" customHeight="1" x14ac:dyDescent="0.3">
      <c r="A163" s="658"/>
      <c r="B163" s="724"/>
      <c r="C163" s="661"/>
      <c r="D163" s="661"/>
      <c r="E163" s="661"/>
      <c r="F163" s="727"/>
      <c r="G163" s="297"/>
      <c r="H163" s="297"/>
      <c r="I163" s="310"/>
      <c r="J163" s="311"/>
      <c r="K163" s="311"/>
      <c r="L163" s="312"/>
      <c r="M163" s="313"/>
      <c r="N163" s="311"/>
      <c r="O163" s="311"/>
      <c r="P163" s="311"/>
      <c r="Q163" s="310"/>
      <c r="R163" s="314"/>
      <c r="S163" s="315"/>
      <c r="T163" s="311"/>
      <c r="U163" s="315"/>
      <c r="V163" s="316"/>
      <c r="W163" s="316"/>
      <c r="X163" s="317"/>
    </row>
    <row r="164" spans="1:24" ht="14.25" customHeight="1" x14ac:dyDescent="0.3">
      <c r="A164" s="656" t="s">
        <v>219</v>
      </c>
      <c r="B164" s="659" t="s">
        <v>220</v>
      </c>
      <c r="C164" s="659"/>
      <c r="D164" s="659" t="s">
        <v>93</v>
      </c>
      <c r="E164" s="659" t="s">
        <v>40</v>
      </c>
      <c r="F164" s="725">
        <f>1560000/S2</f>
        <v>89914.062905261686</v>
      </c>
      <c r="G164" s="322" t="s">
        <v>94</v>
      </c>
      <c r="H164" s="322" t="s">
        <v>94</v>
      </c>
      <c r="I164" s="6" t="s">
        <v>43</v>
      </c>
      <c r="J164" s="19">
        <v>40072</v>
      </c>
      <c r="K164" s="19">
        <v>40076</v>
      </c>
      <c r="L164" s="7"/>
      <c r="M164" s="9">
        <v>40119</v>
      </c>
      <c r="N164" s="7">
        <v>40164</v>
      </c>
      <c r="O164" s="13">
        <v>40184</v>
      </c>
      <c r="P164" s="7">
        <v>40199</v>
      </c>
      <c r="Q164" s="23" t="s">
        <v>43</v>
      </c>
      <c r="R164" s="27"/>
      <c r="S164" s="7">
        <f>P164+8</f>
        <v>40207</v>
      </c>
      <c r="T164" s="7">
        <v>40212</v>
      </c>
      <c r="U164" s="4"/>
      <c r="V164" s="16">
        <v>40361</v>
      </c>
      <c r="W164" s="21">
        <f>V164+365</f>
        <v>40726</v>
      </c>
      <c r="X164" s="12"/>
    </row>
    <row r="165" spans="1:24" ht="14.25" customHeight="1" x14ac:dyDescent="0.3">
      <c r="A165" s="657"/>
      <c r="B165" s="660"/>
      <c r="C165" s="660"/>
      <c r="D165" s="660"/>
      <c r="E165" s="660"/>
      <c r="F165" s="726"/>
      <c r="G165" s="323"/>
      <c r="H165" s="323"/>
      <c r="I165" s="6" t="s">
        <v>44</v>
      </c>
      <c r="J165" s="19">
        <v>40134</v>
      </c>
      <c r="K165" s="19">
        <v>40138</v>
      </c>
      <c r="L165" s="11"/>
      <c r="M165" s="15">
        <v>40181</v>
      </c>
      <c r="N165" s="19">
        <v>40226</v>
      </c>
      <c r="O165" s="7">
        <v>40246</v>
      </c>
      <c r="P165" s="4">
        <v>40261</v>
      </c>
      <c r="Q165" s="23" t="s">
        <v>44</v>
      </c>
      <c r="R165" s="27">
        <f>3099293.35/S2</f>
        <v>178634.65207292259</v>
      </c>
      <c r="S165" s="21"/>
      <c r="T165" s="7">
        <v>40274</v>
      </c>
      <c r="U165" s="11"/>
      <c r="V165" s="16">
        <v>40469</v>
      </c>
      <c r="W165" s="21">
        <f>V165+365</f>
        <v>40834</v>
      </c>
      <c r="X165" s="12"/>
    </row>
    <row r="166" spans="1:24" ht="14.25" customHeight="1" x14ac:dyDescent="0.3">
      <c r="A166" s="658"/>
      <c r="B166" s="661"/>
      <c r="C166" s="661"/>
      <c r="D166" s="661"/>
      <c r="E166" s="661"/>
      <c r="F166" s="727"/>
      <c r="G166" s="297"/>
      <c r="H166" s="297"/>
      <c r="I166" s="310"/>
      <c r="J166" s="311"/>
      <c r="K166" s="311"/>
      <c r="L166" s="312"/>
      <c r="M166" s="313"/>
      <c r="N166" s="311"/>
      <c r="O166" s="311"/>
      <c r="P166" s="311"/>
      <c r="Q166" s="310"/>
      <c r="R166" s="314"/>
      <c r="S166" s="315"/>
      <c r="T166" s="311"/>
      <c r="U166" s="315"/>
      <c r="V166" s="316"/>
      <c r="W166" s="316"/>
      <c r="X166" s="317"/>
    </row>
    <row r="167" spans="1:24" x14ac:dyDescent="0.3">
      <c r="A167" s="656" t="s">
        <v>221</v>
      </c>
      <c r="B167" s="659" t="s">
        <v>222</v>
      </c>
      <c r="C167" s="659"/>
      <c r="D167" s="659" t="s">
        <v>93</v>
      </c>
      <c r="E167" s="659" t="s">
        <v>40</v>
      </c>
      <c r="F167" s="725">
        <f>1560000/$S$2</f>
        <v>89914.062905261686</v>
      </c>
      <c r="G167" s="322" t="s">
        <v>94</v>
      </c>
      <c r="H167" s="322" t="s">
        <v>94</v>
      </c>
      <c r="I167" s="6" t="s">
        <v>43</v>
      </c>
      <c r="J167" s="19">
        <v>40072</v>
      </c>
      <c r="K167" s="19">
        <v>40076</v>
      </c>
      <c r="L167" s="7"/>
      <c r="M167" s="9">
        <v>40119</v>
      </c>
      <c r="N167" s="7">
        <v>40164</v>
      </c>
      <c r="O167" s="13">
        <v>40184</v>
      </c>
      <c r="P167" s="7">
        <v>40199</v>
      </c>
      <c r="Q167" s="23" t="s">
        <v>43</v>
      </c>
      <c r="R167" s="14"/>
      <c r="S167" s="7">
        <f>P167+8</f>
        <v>40207</v>
      </c>
      <c r="T167" s="7">
        <v>40212</v>
      </c>
      <c r="U167" s="4"/>
      <c r="V167" s="16">
        <f>T168+195</f>
        <v>40311</v>
      </c>
      <c r="W167" s="4">
        <f>V167+365</f>
        <v>40676</v>
      </c>
      <c r="X167" s="12"/>
    </row>
    <row r="168" spans="1:24" x14ac:dyDescent="0.3">
      <c r="A168" s="657"/>
      <c r="B168" s="660"/>
      <c r="C168" s="660"/>
      <c r="D168" s="660"/>
      <c r="E168" s="660"/>
      <c r="F168" s="726"/>
      <c r="G168" s="323"/>
      <c r="H168" s="323"/>
      <c r="I168" s="6" t="s">
        <v>44</v>
      </c>
      <c r="J168" s="19">
        <v>39976</v>
      </c>
      <c r="K168" s="19">
        <v>39980</v>
      </c>
      <c r="L168" s="11"/>
      <c r="M168" s="15">
        <v>40023</v>
      </c>
      <c r="N168" s="13">
        <v>40068</v>
      </c>
      <c r="O168" s="7">
        <v>40088</v>
      </c>
      <c r="P168" s="4">
        <v>40103</v>
      </c>
      <c r="Q168" s="23" t="s">
        <v>44</v>
      </c>
      <c r="R168" s="27">
        <f>880426.03/S2</f>
        <v>50745.308618493473</v>
      </c>
      <c r="S168" s="7">
        <f>T168-10</f>
        <v>40106</v>
      </c>
      <c r="T168" s="7">
        <v>40116</v>
      </c>
      <c r="U168" s="11"/>
      <c r="V168" s="16">
        <f>T168+120</f>
        <v>40236</v>
      </c>
      <c r="W168" s="21">
        <f>V168+365</f>
        <v>40601</v>
      </c>
      <c r="X168" s="12"/>
    </row>
    <row r="169" spans="1:24" ht="14.25" customHeight="1" x14ac:dyDescent="0.3">
      <c r="A169" s="658"/>
      <c r="B169" s="661"/>
      <c r="C169" s="661"/>
      <c r="D169" s="661"/>
      <c r="E169" s="661"/>
      <c r="F169" s="727"/>
      <c r="G169" s="55"/>
      <c r="H169" s="55"/>
      <c r="I169" s="310"/>
      <c r="J169" s="311"/>
      <c r="K169" s="311"/>
      <c r="L169" s="312"/>
      <c r="M169" s="313"/>
      <c r="N169" s="311"/>
      <c r="O169" s="311"/>
      <c r="P169" s="311"/>
      <c r="Q169" s="310"/>
      <c r="R169" s="314"/>
      <c r="S169" s="315"/>
      <c r="T169" s="311"/>
      <c r="U169" s="315"/>
      <c r="V169" s="316"/>
      <c r="W169" s="316"/>
      <c r="X169" s="317"/>
    </row>
    <row r="170" spans="1:24" ht="15.6" x14ac:dyDescent="0.3">
      <c r="A170" s="707" t="s">
        <v>223</v>
      </c>
      <c r="B170" s="708"/>
      <c r="C170" s="387"/>
      <c r="D170" s="388"/>
      <c r="E170" s="388"/>
      <c r="F170" s="388"/>
      <c r="G170" s="388"/>
      <c r="H170" s="388"/>
      <c r="I170" s="388"/>
      <c r="J170" s="389"/>
      <c r="K170" s="389"/>
      <c r="L170" s="389"/>
      <c r="M170" s="389"/>
      <c r="N170" s="390"/>
      <c r="O170" s="389"/>
      <c r="P170" s="389"/>
      <c r="Q170" s="388"/>
      <c r="R170" s="389"/>
      <c r="S170" s="389"/>
      <c r="T170" s="391"/>
      <c r="U170" s="388"/>
      <c r="V170" s="388"/>
      <c r="W170" s="388"/>
      <c r="X170" s="392"/>
    </row>
    <row r="171" spans="1:24" x14ac:dyDescent="0.3">
      <c r="A171" s="672" t="s">
        <v>224</v>
      </c>
      <c r="B171" s="673" t="s">
        <v>225</v>
      </c>
      <c r="C171" s="671"/>
      <c r="D171" s="671" t="s">
        <v>93</v>
      </c>
      <c r="E171" s="671" t="s">
        <v>40</v>
      </c>
      <c r="F171" s="674">
        <f>1560000/S2</f>
        <v>89914.062905261686</v>
      </c>
      <c r="G171" s="671" t="s">
        <v>94</v>
      </c>
      <c r="H171" s="671" t="s">
        <v>94</v>
      </c>
      <c r="I171" s="6" t="s">
        <v>43</v>
      </c>
      <c r="J171" s="19">
        <v>39798</v>
      </c>
      <c r="K171" s="19">
        <v>39803</v>
      </c>
      <c r="L171" s="7"/>
      <c r="M171" s="9">
        <v>39929</v>
      </c>
      <c r="N171" s="7">
        <v>39974</v>
      </c>
      <c r="O171" s="13">
        <v>39994</v>
      </c>
      <c r="P171" s="4">
        <f>O171+5</f>
        <v>39999</v>
      </c>
      <c r="Q171" s="23" t="s">
        <v>43</v>
      </c>
      <c r="R171" s="24"/>
      <c r="S171" s="7">
        <f>P171+8</f>
        <v>40007</v>
      </c>
      <c r="T171" s="7">
        <v>40028</v>
      </c>
      <c r="U171" s="4"/>
      <c r="V171" s="4">
        <f>T171+195</f>
        <v>40223</v>
      </c>
      <c r="W171" s="4">
        <f>V171+365</f>
        <v>40588</v>
      </c>
      <c r="X171" s="12"/>
    </row>
    <row r="172" spans="1:24" x14ac:dyDescent="0.3">
      <c r="A172" s="672"/>
      <c r="B172" s="673"/>
      <c r="C172" s="671"/>
      <c r="D172" s="671"/>
      <c r="E172" s="671"/>
      <c r="F172" s="674"/>
      <c r="G172" s="671"/>
      <c r="H172" s="671"/>
      <c r="I172" s="6" t="s">
        <v>44</v>
      </c>
      <c r="J172" s="19">
        <v>39013</v>
      </c>
      <c r="K172" s="19">
        <v>39018</v>
      </c>
      <c r="L172" s="11"/>
      <c r="M172" s="15">
        <v>39144</v>
      </c>
      <c r="N172" s="19">
        <v>39189</v>
      </c>
      <c r="O172" s="7">
        <v>39209</v>
      </c>
      <c r="P172" s="4">
        <v>39214</v>
      </c>
      <c r="Q172" s="23" t="s">
        <v>44</v>
      </c>
      <c r="R172" s="24">
        <f>1027964.06/13.54</f>
        <v>75920.536189069433</v>
      </c>
      <c r="S172" s="4">
        <f>T172-10</f>
        <v>39233</v>
      </c>
      <c r="T172" s="7">
        <v>39243</v>
      </c>
      <c r="U172" s="11"/>
      <c r="V172" s="4">
        <f>T172+120</f>
        <v>39363</v>
      </c>
      <c r="W172" s="4">
        <f>V172+365</f>
        <v>39728</v>
      </c>
      <c r="X172" s="12"/>
    </row>
    <row r="173" spans="1:24" x14ac:dyDescent="0.3">
      <c r="A173" s="672"/>
      <c r="B173" s="673"/>
      <c r="C173" s="671"/>
      <c r="D173" s="671"/>
      <c r="E173" s="671"/>
      <c r="F173" s="674"/>
      <c r="G173" s="671"/>
      <c r="H173" s="671"/>
      <c r="I173" s="310"/>
      <c r="J173" s="311"/>
      <c r="K173" s="311"/>
      <c r="L173" s="312"/>
      <c r="M173" s="313"/>
      <c r="N173" s="311"/>
      <c r="O173" s="311"/>
      <c r="P173" s="311"/>
      <c r="Q173" s="310"/>
      <c r="R173" s="314"/>
      <c r="S173" s="315"/>
      <c r="T173" s="311"/>
      <c r="U173" s="315"/>
      <c r="V173" s="316"/>
      <c r="W173" s="316"/>
      <c r="X173" s="317"/>
    </row>
    <row r="174" spans="1:24" ht="15" customHeight="1" x14ac:dyDescent="0.3">
      <c r="A174" s="716" t="s">
        <v>227</v>
      </c>
      <c r="B174" s="688" t="s">
        <v>228</v>
      </c>
      <c r="C174" s="665"/>
      <c r="D174" s="665" t="s">
        <v>93</v>
      </c>
      <c r="E174" s="665" t="s">
        <v>40</v>
      </c>
      <c r="F174" s="714">
        <f>1560000*2/S2</f>
        <v>179828.12581052337</v>
      </c>
      <c r="G174" s="665" t="s">
        <v>94</v>
      </c>
      <c r="H174" s="665" t="s">
        <v>94</v>
      </c>
      <c r="I174" s="6" t="s">
        <v>43</v>
      </c>
      <c r="J174" s="19">
        <v>39798</v>
      </c>
      <c r="K174" s="19">
        <v>39803</v>
      </c>
      <c r="L174" s="7"/>
      <c r="M174" s="9">
        <v>39929</v>
      </c>
      <c r="N174" s="7">
        <v>39974</v>
      </c>
      <c r="O174" s="13">
        <v>39994</v>
      </c>
      <c r="P174" s="4">
        <f>O174+5</f>
        <v>39999</v>
      </c>
      <c r="Q174" s="23" t="s">
        <v>43</v>
      </c>
      <c r="R174" s="27"/>
      <c r="S174" s="7">
        <f>P174+8</f>
        <v>40007</v>
      </c>
      <c r="T174" s="7">
        <v>40028</v>
      </c>
      <c r="U174" s="4"/>
      <c r="V174" s="4">
        <v>40212</v>
      </c>
      <c r="W174" s="21">
        <f>V174+365</f>
        <v>40577</v>
      </c>
      <c r="X174" s="12"/>
    </row>
    <row r="175" spans="1:24" x14ac:dyDescent="0.3">
      <c r="A175" s="717"/>
      <c r="B175" s="689"/>
      <c r="C175" s="666"/>
      <c r="D175" s="666"/>
      <c r="E175" s="666"/>
      <c r="F175" s="715"/>
      <c r="G175" s="666"/>
      <c r="H175" s="666"/>
      <c r="I175" s="25" t="s">
        <v>226</v>
      </c>
      <c r="J175" s="19"/>
      <c r="K175" s="19"/>
      <c r="L175" s="7"/>
      <c r="M175" s="9"/>
      <c r="N175" s="7"/>
      <c r="O175" s="13"/>
      <c r="P175" s="7"/>
      <c r="Q175" s="26" t="s">
        <v>226</v>
      </c>
      <c r="R175" s="27"/>
      <c r="S175" s="28"/>
      <c r="T175" s="7"/>
      <c r="U175" s="4"/>
      <c r="V175" s="4">
        <f>T176+120</f>
        <v>41157</v>
      </c>
      <c r="W175" s="4">
        <f>V175+365</f>
        <v>41522</v>
      </c>
      <c r="X175" s="12"/>
    </row>
    <row r="176" spans="1:24" x14ac:dyDescent="0.3">
      <c r="A176" s="717"/>
      <c r="B176" s="689"/>
      <c r="C176" s="666"/>
      <c r="D176" s="666"/>
      <c r="E176" s="666"/>
      <c r="F176" s="715"/>
      <c r="G176" s="666"/>
      <c r="H176" s="666"/>
      <c r="I176" s="6" t="s">
        <v>44</v>
      </c>
      <c r="J176" s="19">
        <v>39013</v>
      </c>
      <c r="K176" s="19">
        <v>39018</v>
      </c>
      <c r="L176" s="11"/>
      <c r="M176" s="15">
        <v>39144</v>
      </c>
      <c r="N176" s="19">
        <v>39189</v>
      </c>
      <c r="O176" s="7">
        <v>39209</v>
      </c>
      <c r="P176" s="4">
        <v>39214</v>
      </c>
      <c r="Q176" s="23" t="s">
        <v>44</v>
      </c>
      <c r="R176" s="27">
        <v>124332.38320520402</v>
      </c>
      <c r="S176" s="7">
        <v>41027</v>
      </c>
      <c r="T176" s="7">
        <f>S176+10</f>
        <v>41037</v>
      </c>
      <c r="U176" s="11"/>
      <c r="V176" s="4"/>
      <c r="W176" s="21"/>
      <c r="X176" s="12"/>
    </row>
    <row r="177" spans="1:24" x14ac:dyDescent="0.3">
      <c r="A177" s="717"/>
      <c r="B177" s="689"/>
      <c r="C177" s="666"/>
      <c r="D177" s="666"/>
      <c r="E177" s="666"/>
      <c r="F177" s="715"/>
      <c r="G177" s="666"/>
      <c r="H177" s="666"/>
      <c r="I177" s="310"/>
      <c r="J177" s="311"/>
      <c r="K177" s="311"/>
      <c r="L177" s="312"/>
      <c r="M177" s="313"/>
      <c r="N177" s="311"/>
      <c r="O177" s="311"/>
      <c r="P177" s="311"/>
      <c r="Q177" s="310"/>
      <c r="R177" s="314"/>
      <c r="S177" s="315"/>
      <c r="T177" s="311"/>
      <c r="U177" s="315"/>
      <c r="V177" s="316"/>
      <c r="W177" s="316"/>
      <c r="X177" s="317"/>
    </row>
    <row r="178" spans="1:24" ht="15" customHeight="1" x14ac:dyDescent="0.3">
      <c r="A178" s="656" t="s">
        <v>229</v>
      </c>
      <c r="B178" s="688" t="s">
        <v>230</v>
      </c>
      <c r="C178" s="665"/>
      <c r="D178" s="665" t="s">
        <v>93</v>
      </c>
      <c r="E178" s="665" t="s">
        <v>40</v>
      </c>
      <c r="F178" s="714">
        <f>(760000)/S2</f>
        <v>43804.287056409543</v>
      </c>
      <c r="G178" s="665" t="s">
        <v>94</v>
      </c>
      <c r="H178" s="665" t="s">
        <v>94</v>
      </c>
      <c r="I178" s="6" t="s">
        <v>43</v>
      </c>
      <c r="J178" s="19">
        <v>39798</v>
      </c>
      <c r="K178" s="19">
        <v>39803</v>
      </c>
      <c r="L178" s="7"/>
      <c r="M178" s="9">
        <v>39929</v>
      </c>
      <c r="N178" s="7">
        <v>39974</v>
      </c>
      <c r="O178" s="13">
        <v>39994</v>
      </c>
      <c r="P178" s="4">
        <f>O178+5</f>
        <v>39999</v>
      </c>
      <c r="Q178" s="23" t="s">
        <v>43</v>
      </c>
      <c r="R178" s="27"/>
      <c r="S178" s="28">
        <f>T178-10</f>
        <v>40018</v>
      </c>
      <c r="T178" s="7">
        <v>40028</v>
      </c>
      <c r="U178" s="4"/>
      <c r="V178" s="4">
        <v>40212</v>
      </c>
      <c r="W178" s="21">
        <f>V178+365</f>
        <v>40577</v>
      </c>
      <c r="X178" s="12"/>
    </row>
    <row r="179" spans="1:24" ht="13.5" customHeight="1" x14ac:dyDescent="0.3">
      <c r="A179" s="657"/>
      <c r="B179" s="689"/>
      <c r="C179" s="666"/>
      <c r="D179" s="666"/>
      <c r="E179" s="666"/>
      <c r="F179" s="715"/>
      <c r="G179" s="666"/>
      <c r="H179" s="666"/>
      <c r="I179" s="25" t="s">
        <v>226</v>
      </c>
      <c r="J179" s="19"/>
      <c r="K179" s="19"/>
      <c r="L179" s="7"/>
      <c r="M179" s="9"/>
      <c r="N179" s="7"/>
      <c r="O179" s="13"/>
      <c r="P179" s="7"/>
      <c r="Q179" s="26"/>
      <c r="R179" s="27"/>
      <c r="S179" s="28"/>
      <c r="T179" s="7"/>
      <c r="U179" s="4"/>
      <c r="V179" s="4">
        <f>T180+120</f>
        <v>41157</v>
      </c>
      <c r="W179" s="4">
        <f>V179+365</f>
        <v>41522</v>
      </c>
      <c r="X179" s="12"/>
    </row>
    <row r="180" spans="1:24" ht="13.5" customHeight="1" x14ac:dyDescent="0.3">
      <c r="A180" s="657"/>
      <c r="B180" s="689"/>
      <c r="C180" s="666"/>
      <c r="D180" s="666"/>
      <c r="E180" s="666"/>
      <c r="F180" s="715"/>
      <c r="G180" s="666"/>
      <c r="H180" s="666"/>
      <c r="I180" s="6" t="s">
        <v>44</v>
      </c>
      <c r="J180" s="19">
        <v>39013</v>
      </c>
      <c r="K180" s="19">
        <v>39018</v>
      </c>
      <c r="L180" s="11"/>
      <c r="M180" s="15">
        <v>39873</v>
      </c>
      <c r="N180" s="19">
        <v>39902</v>
      </c>
      <c r="O180" s="7">
        <v>39911</v>
      </c>
      <c r="P180" s="4"/>
      <c r="Q180" s="23" t="s">
        <v>44</v>
      </c>
      <c r="R180" s="27">
        <f>267347.81/S2</f>
        <v>15409.184490976892</v>
      </c>
      <c r="S180" s="7">
        <v>41027</v>
      </c>
      <c r="T180" s="7">
        <f>S180+10</f>
        <v>41037</v>
      </c>
      <c r="U180" s="11"/>
      <c r="V180" s="4"/>
      <c r="W180" s="21"/>
      <c r="X180" s="12"/>
    </row>
    <row r="181" spans="1:24" ht="13.5" customHeight="1" x14ac:dyDescent="0.3">
      <c r="A181" s="657"/>
      <c r="B181" s="689"/>
      <c r="C181" s="666"/>
      <c r="D181" s="666"/>
      <c r="E181" s="666"/>
      <c r="F181" s="715"/>
      <c r="G181" s="666"/>
      <c r="H181" s="666"/>
      <c r="I181" s="310"/>
      <c r="J181" s="311"/>
      <c r="K181" s="311"/>
      <c r="L181" s="312"/>
      <c r="M181" s="313"/>
      <c r="N181" s="311"/>
      <c r="O181" s="311"/>
      <c r="P181" s="311"/>
      <c r="Q181" s="310"/>
      <c r="R181" s="314"/>
      <c r="S181" s="315"/>
      <c r="T181" s="311"/>
      <c r="U181" s="315"/>
      <c r="V181" s="316"/>
      <c r="W181" s="316"/>
      <c r="X181" s="317"/>
    </row>
    <row r="182" spans="1:24" ht="13.5" customHeight="1" x14ac:dyDescent="0.3">
      <c r="A182" s="656" t="s">
        <v>231</v>
      </c>
      <c r="B182" s="688" t="s">
        <v>232</v>
      </c>
      <c r="C182" s="665"/>
      <c r="D182" s="665" t="s">
        <v>93</v>
      </c>
      <c r="E182" s="665" t="s">
        <v>40</v>
      </c>
      <c r="F182" s="714">
        <f>1560000/S2</f>
        <v>89914.062905261686</v>
      </c>
      <c r="G182" s="665" t="s">
        <v>94</v>
      </c>
      <c r="H182" s="665" t="s">
        <v>94</v>
      </c>
      <c r="I182" s="6" t="s">
        <v>43</v>
      </c>
      <c r="J182" s="19">
        <v>40072</v>
      </c>
      <c r="K182" s="19">
        <v>40076</v>
      </c>
      <c r="L182" s="7"/>
      <c r="M182" s="9">
        <v>40119</v>
      </c>
      <c r="N182" s="7">
        <v>40164</v>
      </c>
      <c r="O182" s="13">
        <v>40184</v>
      </c>
      <c r="P182" s="4">
        <f>O182+5</f>
        <v>40189</v>
      </c>
      <c r="Q182" s="23" t="s">
        <v>43</v>
      </c>
      <c r="R182" s="14"/>
      <c r="S182" s="7">
        <f>P182+8</f>
        <v>40197</v>
      </c>
      <c r="T182" s="7">
        <v>40212</v>
      </c>
      <c r="U182" s="4"/>
      <c r="V182" s="4">
        <f>T184+195</f>
        <v>41232</v>
      </c>
      <c r="W182" s="4">
        <f>V182+365</f>
        <v>41597</v>
      </c>
      <c r="X182" s="12"/>
    </row>
    <row r="183" spans="1:24" ht="13.5" customHeight="1" x14ac:dyDescent="0.3">
      <c r="A183" s="657"/>
      <c r="B183" s="689"/>
      <c r="C183" s="666"/>
      <c r="D183" s="666"/>
      <c r="E183" s="666"/>
      <c r="F183" s="715"/>
      <c r="G183" s="666"/>
      <c r="H183" s="666"/>
      <c r="I183" s="25" t="s">
        <v>226</v>
      </c>
      <c r="J183" s="19"/>
      <c r="K183" s="19"/>
      <c r="L183" s="7"/>
      <c r="M183" s="9"/>
      <c r="N183" s="7"/>
      <c r="O183" s="13"/>
      <c r="P183" s="7"/>
      <c r="Q183" s="26"/>
      <c r="R183" s="27"/>
      <c r="S183" s="28"/>
      <c r="T183" s="7"/>
      <c r="U183" s="4"/>
      <c r="V183" s="4">
        <f>T184+120</f>
        <v>41157</v>
      </c>
      <c r="W183" s="4">
        <f>V183+365</f>
        <v>41522</v>
      </c>
      <c r="X183" s="12"/>
    </row>
    <row r="184" spans="1:24" ht="13.5" customHeight="1" x14ac:dyDescent="0.3">
      <c r="A184" s="657"/>
      <c r="B184" s="689"/>
      <c r="C184" s="666"/>
      <c r="D184" s="666"/>
      <c r="E184" s="666"/>
      <c r="F184" s="715"/>
      <c r="G184" s="666"/>
      <c r="H184" s="666"/>
      <c r="I184" s="6" t="s">
        <v>44</v>
      </c>
      <c r="J184" s="19">
        <v>40905</v>
      </c>
      <c r="K184" s="19">
        <v>40909</v>
      </c>
      <c r="L184" s="11"/>
      <c r="M184" s="15">
        <v>40952</v>
      </c>
      <c r="N184" s="19">
        <v>40997</v>
      </c>
      <c r="O184" s="7">
        <v>41017</v>
      </c>
      <c r="P184" s="4"/>
      <c r="Q184" s="23" t="s">
        <v>44</v>
      </c>
      <c r="R184" s="27">
        <f>2720859.72/S2</f>
        <v>156822.78975671329</v>
      </c>
      <c r="S184" s="7">
        <v>41027</v>
      </c>
      <c r="T184" s="7">
        <f>S184+10</f>
        <v>41037</v>
      </c>
      <c r="U184" s="11"/>
      <c r="V184" s="4"/>
      <c r="W184" s="21"/>
      <c r="X184" s="12"/>
    </row>
    <row r="185" spans="1:24" ht="13.5" customHeight="1" x14ac:dyDescent="0.3">
      <c r="A185" s="42"/>
      <c r="B185" s="51"/>
      <c r="C185" s="46"/>
      <c r="D185" s="47"/>
      <c r="E185" s="47"/>
      <c r="F185" s="48"/>
      <c r="G185" s="47"/>
      <c r="H185" s="47"/>
      <c r="I185" s="310"/>
      <c r="J185" s="311"/>
      <c r="K185" s="311"/>
      <c r="L185" s="312"/>
      <c r="M185" s="313"/>
      <c r="N185" s="311"/>
      <c r="O185" s="311"/>
      <c r="P185" s="311"/>
      <c r="Q185" s="310"/>
      <c r="R185" s="314"/>
      <c r="S185" s="315"/>
      <c r="T185" s="311"/>
      <c r="U185" s="315"/>
      <c r="V185" s="316"/>
      <c r="W185" s="316"/>
      <c r="X185" s="317"/>
    </row>
    <row r="186" spans="1:24" x14ac:dyDescent="0.3">
      <c r="A186" s="656" t="s">
        <v>234</v>
      </c>
      <c r="B186" s="688" t="s">
        <v>235</v>
      </c>
      <c r="C186" s="665"/>
      <c r="D186" s="665" t="s">
        <v>93</v>
      </c>
      <c r="E186" s="665" t="s">
        <v>40</v>
      </c>
      <c r="F186" s="714">
        <f>1485000/S2</f>
        <v>85591.271419431811</v>
      </c>
      <c r="G186" s="665" t="s">
        <v>94</v>
      </c>
      <c r="H186" s="665" t="s">
        <v>94</v>
      </c>
      <c r="I186" s="6" t="s">
        <v>43</v>
      </c>
      <c r="J186" s="19">
        <v>40072</v>
      </c>
      <c r="K186" s="19">
        <v>40076</v>
      </c>
      <c r="L186" s="7"/>
      <c r="M186" s="9">
        <v>40119</v>
      </c>
      <c r="N186" s="7">
        <v>40164</v>
      </c>
      <c r="O186" s="13">
        <v>40184</v>
      </c>
      <c r="P186" s="4">
        <f>O186+5</f>
        <v>40189</v>
      </c>
      <c r="Q186" s="23" t="s">
        <v>43</v>
      </c>
      <c r="R186" s="14"/>
      <c r="S186" s="7">
        <f>P186+8</f>
        <v>40197</v>
      </c>
      <c r="T186" s="7">
        <v>40212</v>
      </c>
      <c r="U186" s="4"/>
      <c r="V186" s="4">
        <v>40361</v>
      </c>
      <c r="W186" s="29">
        <f>V186+365</f>
        <v>40726</v>
      </c>
      <c r="X186" s="12"/>
    </row>
    <row r="187" spans="1:24" ht="13.5" customHeight="1" x14ac:dyDescent="0.3">
      <c r="A187" s="657"/>
      <c r="B187" s="689"/>
      <c r="C187" s="666"/>
      <c r="D187" s="666"/>
      <c r="E187" s="666"/>
      <c r="F187" s="715"/>
      <c r="G187" s="666"/>
      <c r="H187" s="666"/>
      <c r="I187" s="25" t="s">
        <v>226</v>
      </c>
      <c r="J187" s="19"/>
      <c r="K187" s="19"/>
      <c r="L187" s="7"/>
      <c r="M187" s="9"/>
      <c r="N187" s="7"/>
      <c r="O187" s="13"/>
      <c r="P187" s="7"/>
      <c r="Q187" s="26"/>
      <c r="R187" s="27"/>
      <c r="S187" s="28"/>
      <c r="U187" s="4"/>
      <c r="V187" s="4">
        <f>T188+120</f>
        <v>41157</v>
      </c>
      <c r="W187" s="4">
        <f>V187+365</f>
        <v>41522</v>
      </c>
      <c r="X187" s="12"/>
    </row>
    <row r="188" spans="1:24" ht="13.5" customHeight="1" x14ac:dyDescent="0.3">
      <c r="A188" s="657"/>
      <c r="B188" s="689"/>
      <c r="C188" s="666"/>
      <c r="D188" s="666"/>
      <c r="E188" s="666"/>
      <c r="F188" s="715"/>
      <c r="G188" s="666"/>
      <c r="H188" s="666"/>
      <c r="I188" s="6" t="s">
        <v>44</v>
      </c>
      <c r="J188" s="19">
        <v>40905</v>
      </c>
      <c r="K188" s="19">
        <v>40909</v>
      </c>
      <c r="L188" s="11"/>
      <c r="M188" s="15">
        <v>40952</v>
      </c>
      <c r="N188" s="19">
        <v>40997</v>
      </c>
      <c r="O188" s="7">
        <v>41017</v>
      </c>
      <c r="P188" s="4"/>
      <c r="Q188" s="23" t="s">
        <v>44</v>
      </c>
      <c r="R188" s="27">
        <f>709338.98/S2</f>
        <v>40884.326710816771</v>
      </c>
      <c r="S188" s="7">
        <v>41027</v>
      </c>
      <c r="T188" s="7">
        <f>S188+10</f>
        <v>41037</v>
      </c>
      <c r="U188" s="11"/>
      <c r="V188" s="4"/>
      <c r="W188" s="4"/>
      <c r="X188" s="12"/>
    </row>
    <row r="189" spans="1:24" ht="13.5" customHeight="1" x14ac:dyDescent="0.3">
      <c r="A189" s="42"/>
      <c r="B189" s="51"/>
      <c r="C189" s="46"/>
      <c r="D189" s="47"/>
      <c r="E189" s="47"/>
      <c r="F189" s="48"/>
      <c r="G189" s="47"/>
      <c r="H189" s="47"/>
      <c r="I189" s="310"/>
      <c r="J189" s="311"/>
      <c r="K189" s="311"/>
      <c r="L189" s="312"/>
      <c r="M189" s="313"/>
      <c r="N189" s="311"/>
      <c r="O189" s="311"/>
      <c r="P189" s="311"/>
      <c r="Q189" s="310"/>
      <c r="R189" s="314"/>
      <c r="S189" s="315"/>
      <c r="T189" s="311"/>
      <c r="U189" s="315"/>
      <c r="V189" s="316"/>
      <c r="W189" s="316"/>
      <c r="X189" s="317"/>
    </row>
    <row r="190" spans="1:24" x14ac:dyDescent="0.3">
      <c r="A190" s="656" t="s">
        <v>236</v>
      </c>
      <c r="B190" s="688" t="s">
        <v>208</v>
      </c>
      <c r="C190" s="665"/>
      <c r="D190" s="665" t="s">
        <v>93</v>
      </c>
      <c r="E190" s="665" t="s">
        <v>40</v>
      </c>
      <c r="F190" s="714">
        <f>1560000/S2</f>
        <v>89914.062905261686</v>
      </c>
      <c r="G190" s="665" t="s">
        <v>94</v>
      </c>
      <c r="H190" s="665" t="s">
        <v>94</v>
      </c>
      <c r="I190" s="6" t="s">
        <v>43</v>
      </c>
      <c r="J190" s="19">
        <v>40072</v>
      </c>
      <c r="K190" s="19">
        <v>40076</v>
      </c>
      <c r="L190" s="7"/>
      <c r="M190" s="9">
        <v>40119</v>
      </c>
      <c r="N190" s="7">
        <v>40164</v>
      </c>
      <c r="O190" s="13">
        <v>40184</v>
      </c>
      <c r="P190" s="4">
        <f>O190+5</f>
        <v>40189</v>
      </c>
      <c r="Q190" s="23" t="s">
        <v>43</v>
      </c>
      <c r="R190" s="14"/>
      <c r="S190" s="7">
        <f>P190+8</f>
        <v>40197</v>
      </c>
      <c r="T190" s="7">
        <v>40212</v>
      </c>
      <c r="U190" s="4"/>
      <c r="V190" s="4">
        <f>T190+195</f>
        <v>40407</v>
      </c>
      <c r="W190" s="4">
        <f>V190+365</f>
        <v>40772</v>
      </c>
      <c r="X190" s="12"/>
    </row>
    <row r="191" spans="1:24" x14ac:dyDescent="0.3">
      <c r="A191" s="657"/>
      <c r="B191" s="689"/>
      <c r="C191" s="666"/>
      <c r="D191" s="666"/>
      <c r="E191" s="666"/>
      <c r="F191" s="715"/>
      <c r="G191" s="666"/>
      <c r="H191" s="666"/>
      <c r="I191" s="25" t="s">
        <v>226</v>
      </c>
      <c r="J191" s="19"/>
      <c r="K191" s="19"/>
      <c r="L191" s="7"/>
      <c r="M191" s="9"/>
      <c r="N191" s="7"/>
      <c r="O191" s="13"/>
      <c r="P191" s="7"/>
      <c r="Q191" s="26"/>
      <c r="R191" s="27"/>
      <c r="S191" s="28"/>
      <c r="U191" s="4"/>
      <c r="V191" s="4">
        <f>T192+120</f>
        <v>41157</v>
      </c>
      <c r="W191" s="4">
        <f>V191+365</f>
        <v>41522</v>
      </c>
      <c r="X191" s="12"/>
    </row>
    <row r="192" spans="1:24" x14ac:dyDescent="0.3">
      <c r="A192" s="657"/>
      <c r="B192" s="689"/>
      <c r="C192" s="666"/>
      <c r="D192" s="666"/>
      <c r="E192" s="666"/>
      <c r="F192" s="715"/>
      <c r="G192" s="666"/>
      <c r="H192" s="666"/>
      <c r="I192" s="6" t="s">
        <v>44</v>
      </c>
      <c r="J192" s="19">
        <v>40905</v>
      </c>
      <c r="K192" s="19">
        <v>40909</v>
      </c>
      <c r="L192" s="11"/>
      <c r="M192" s="15">
        <v>40952</v>
      </c>
      <c r="N192" s="19">
        <v>40997</v>
      </c>
      <c r="O192" s="7">
        <v>41017</v>
      </c>
      <c r="P192" s="4"/>
      <c r="Q192" s="23" t="s">
        <v>44</v>
      </c>
      <c r="R192" s="27">
        <f>1608753.16/S2</f>
        <v>92724.059504665725</v>
      </c>
      <c r="S192" s="7">
        <v>41027</v>
      </c>
      <c r="T192" s="7">
        <f>S192+10</f>
        <v>41037</v>
      </c>
      <c r="U192" s="11"/>
      <c r="V192" s="4"/>
      <c r="W192" s="21"/>
      <c r="X192" s="12"/>
    </row>
    <row r="193" spans="1:24" x14ac:dyDescent="0.3">
      <c r="A193" s="42"/>
      <c r="B193" s="45"/>
      <c r="C193" s="46"/>
      <c r="D193" s="47"/>
      <c r="E193" s="47"/>
      <c r="F193" s="48"/>
      <c r="G193" s="47"/>
      <c r="H193" s="47"/>
      <c r="I193" s="310"/>
      <c r="J193" s="311"/>
      <c r="K193" s="311"/>
      <c r="L193" s="312"/>
      <c r="M193" s="313"/>
      <c r="N193" s="311"/>
      <c r="O193" s="311"/>
      <c r="P193" s="311"/>
      <c r="Q193" s="310"/>
      <c r="R193" s="314"/>
      <c r="S193" s="315"/>
      <c r="T193" s="311"/>
      <c r="U193" s="315"/>
      <c r="V193" s="316"/>
      <c r="W193" s="316"/>
      <c r="X193" s="317"/>
    </row>
    <row r="194" spans="1:24" x14ac:dyDescent="0.3">
      <c r="A194" s="656" t="s">
        <v>237</v>
      </c>
      <c r="B194" s="688" t="s">
        <v>238</v>
      </c>
      <c r="C194" s="665"/>
      <c r="D194" s="665" t="s">
        <v>93</v>
      </c>
      <c r="E194" s="665" t="s">
        <v>40</v>
      </c>
      <c r="F194" s="714">
        <f>1560000/S2</f>
        <v>89914.062905261686</v>
      </c>
      <c r="G194" s="665" t="s">
        <v>94</v>
      </c>
      <c r="H194" s="665" t="s">
        <v>94</v>
      </c>
      <c r="I194" s="6" t="s">
        <v>43</v>
      </c>
      <c r="J194" s="19">
        <v>40072</v>
      </c>
      <c r="K194" s="19">
        <v>40076</v>
      </c>
      <c r="L194" s="7"/>
      <c r="M194" s="9">
        <v>40119</v>
      </c>
      <c r="N194" s="7">
        <v>40164</v>
      </c>
      <c r="O194" s="13">
        <v>40184</v>
      </c>
      <c r="P194" s="4">
        <f>O194+5</f>
        <v>40189</v>
      </c>
      <c r="Q194" s="23" t="s">
        <v>43</v>
      </c>
      <c r="R194" s="14"/>
      <c r="S194" s="7">
        <f>P194+8</f>
        <v>40197</v>
      </c>
      <c r="T194" s="7">
        <v>40212</v>
      </c>
      <c r="U194" s="4"/>
      <c r="V194" s="4">
        <v>40361</v>
      </c>
      <c r="W194" s="4">
        <v>40834</v>
      </c>
      <c r="X194" s="12"/>
    </row>
    <row r="195" spans="1:24" x14ac:dyDescent="0.3">
      <c r="A195" s="657"/>
      <c r="B195" s="689"/>
      <c r="C195" s="666"/>
      <c r="D195" s="666"/>
      <c r="E195" s="666"/>
      <c r="F195" s="715"/>
      <c r="G195" s="666"/>
      <c r="H195" s="666"/>
      <c r="I195" s="25" t="s">
        <v>226</v>
      </c>
      <c r="J195" s="19"/>
      <c r="K195" s="19"/>
      <c r="L195" s="7"/>
      <c r="M195" s="9"/>
      <c r="N195" s="7"/>
      <c r="O195" s="13"/>
      <c r="P195" s="7"/>
      <c r="Q195" s="26"/>
      <c r="R195" s="27"/>
      <c r="S195" s="28"/>
      <c r="T195" s="7"/>
      <c r="U195" s="4"/>
      <c r="V195" s="4">
        <f>T196+120</f>
        <v>41163</v>
      </c>
      <c r="W195" s="4">
        <f>V195+365</f>
        <v>41528</v>
      </c>
      <c r="X195" s="12"/>
    </row>
    <row r="196" spans="1:24" x14ac:dyDescent="0.3">
      <c r="A196" s="657"/>
      <c r="B196" s="689"/>
      <c r="C196" s="666"/>
      <c r="D196" s="666"/>
      <c r="E196" s="666"/>
      <c r="F196" s="715"/>
      <c r="G196" s="666"/>
      <c r="H196" s="666"/>
      <c r="I196" s="6" t="s">
        <v>44</v>
      </c>
      <c r="J196" s="19">
        <v>40905</v>
      </c>
      <c r="K196" s="19">
        <v>40909</v>
      </c>
      <c r="L196" s="11"/>
      <c r="M196" s="15">
        <v>40952</v>
      </c>
      <c r="N196" s="19">
        <v>40997</v>
      </c>
      <c r="O196" s="7">
        <v>41017</v>
      </c>
      <c r="P196" s="4"/>
      <c r="Q196" s="23" t="s">
        <v>44</v>
      </c>
      <c r="R196" s="27">
        <f>1957354.44/S2</f>
        <v>112816.4681064444</v>
      </c>
      <c r="S196" s="7">
        <v>41027</v>
      </c>
      <c r="T196" s="7">
        <v>41043</v>
      </c>
      <c r="U196" s="11"/>
      <c r="V196" s="4"/>
      <c r="W196" s="21"/>
      <c r="X196" s="12"/>
    </row>
    <row r="197" spans="1:24" x14ac:dyDescent="0.3">
      <c r="A197" s="42"/>
      <c r="B197" s="45"/>
      <c r="C197" s="46"/>
      <c r="D197" s="47"/>
      <c r="E197" s="47"/>
      <c r="F197" s="48"/>
      <c r="G197" s="47"/>
      <c r="H197" s="47"/>
      <c r="I197" s="310"/>
      <c r="J197" s="311"/>
      <c r="K197" s="311"/>
      <c r="L197" s="312"/>
      <c r="M197" s="313"/>
      <c r="N197" s="311"/>
      <c r="O197" s="311"/>
      <c r="P197" s="311"/>
      <c r="Q197" s="310"/>
      <c r="R197" s="314"/>
      <c r="S197" s="315"/>
      <c r="T197" s="311"/>
      <c r="U197" s="315"/>
      <c r="V197" s="316"/>
      <c r="W197" s="316"/>
      <c r="X197" s="317"/>
    </row>
    <row r="198" spans="1:24" x14ac:dyDescent="0.3">
      <c r="A198" s="656" t="s">
        <v>239</v>
      </c>
      <c r="B198" s="688" t="s">
        <v>240</v>
      </c>
      <c r="C198" s="665"/>
      <c r="D198" s="665" t="s">
        <v>93</v>
      </c>
      <c r="E198" s="665" t="s">
        <v>40</v>
      </c>
      <c r="F198" s="714">
        <f>1560000/$S$2</f>
        <v>89914.062905261686</v>
      </c>
      <c r="G198" s="665" t="s">
        <v>94</v>
      </c>
      <c r="H198" s="665" t="s">
        <v>94</v>
      </c>
      <c r="I198" s="6" t="s">
        <v>43</v>
      </c>
      <c r="J198" s="19">
        <v>40072</v>
      </c>
      <c r="K198" s="19">
        <v>40076</v>
      </c>
      <c r="L198" s="7"/>
      <c r="M198" s="9">
        <v>40119</v>
      </c>
      <c r="N198" s="7">
        <v>40164</v>
      </c>
      <c r="O198" s="13">
        <v>40184</v>
      </c>
      <c r="P198" s="4">
        <f>O198+5</f>
        <v>40189</v>
      </c>
      <c r="Q198" s="23" t="s">
        <v>43</v>
      </c>
      <c r="R198" s="14"/>
      <c r="S198" s="7">
        <f>P198+8</f>
        <v>40197</v>
      </c>
      <c r="T198" s="7">
        <v>40212</v>
      </c>
      <c r="U198" s="4"/>
      <c r="V198" s="4">
        <f>T200+195</f>
        <v>195</v>
      </c>
      <c r="W198" s="4">
        <f>V198+365</f>
        <v>560</v>
      </c>
      <c r="X198" s="12"/>
    </row>
    <row r="199" spans="1:24" x14ac:dyDescent="0.3">
      <c r="A199" s="657"/>
      <c r="B199" s="689"/>
      <c r="C199" s="666"/>
      <c r="D199" s="666"/>
      <c r="E199" s="666"/>
      <c r="F199" s="715"/>
      <c r="G199" s="666"/>
      <c r="H199" s="666"/>
      <c r="I199" s="25" t="s">
        <v>226</v>
      </c>
      <c r="J199" s="19"/>
      <c r="K199" s="19"/>
      <c r="L199" s="7"/>
      <c r="M199" s="9"/>
      <c r="N199" s="7"/>
      <c r="O199" s="13"/>
      <c r="P199" s="7"/>
      <c r="Q199" s="26"/>
      <c r="R199" s="27"/>
      <c r="S199" s="28"/>
      <c r="T199" s="7">
        <f>S200+10</f>
        <v>41037</v>
      </c>
      <c r="U199" s="4"/>
      <c r="V199" s="4">
        <f>T199+120</f>
        <v>41157</v>
      </c>
      <c r="W199" s="4">
        <f>V199+365</f>
        <v>41522</v>
      </c>
      <c r="X199" s="12"/>
    </row>
    <row r="200" spans="1:24" x14ac:dyDescent="0.3">
      <c r="A200" s="657"/>
      <c r="B200" s="689"/>
      <c r="C200" s="666"/>
      <c r="D200" s="666"/>
      <c r="E200" s="666"/>
      <c r="F200" s="715"/>
      <c r="G200" s="666"/>
      <c r="H200" s="666"/>
      <c r="I200" s="6" t="s">
        <v>44</v>
      </c>
      <c r="J200" s="19">
        <v>40905</v>
      </c>
      <c r="K200" s="19">
        <v>40909</v>
      </c>
      <c r="L200" s="11"/>
      <c r="M200" s="15">
        <v>40952</v>
      </c>
      <c r="N200" s="13">
        <v>40997</v>
      </c>
      <c r="O200" s="7">
        <v>41017</v>
      </c>
      <c r="P200" s="4"/>
      <c r="Q200" s="23" t="s">
        <v>44</v>
      </c>
      <c r="R200" s="27">
        <f>1949478.65/S2</f>
        <v>112362.52946702861</v>
      </c>
      <c r="S200" s="7">
        <v>41027</v>
      </c>
      <c r="T200" s="7"/>
      <c r="U200" s="11"/>
      <c r="V200" s="4"/>
      <c r="W200" s="21"/>
      <c r="X200" s="12"/>
    </row>
    <row r="201" spans="1:24" x14ac:dyDescent="0.3">
      <c r="A201" s="42"/>
      <c r="B201" s="51"/>
      <c r="C201" s="46"/>
      <c r="D201" s="47"/>
      <c r="E201" s="47"/>
      <c r="F201" s="52"/>
      <c r="G201" s="47"/>
      <c r="H201" s="47"/>
      <c r="I201" s="310"/>
      <c r="J201" s="311"/>
      <c r="K201" s="311"/>
      <c r="L201" s="312"/>
      <c r="M201" s="313"/>
      <c r="N201" s="311"/>
      <c r="O201" s="311"/>
      <c r="P201" s="311"/>
      <c r="Q201" s="310"/>
      <c r="R201" s="314"/>
      <c r="S201" s="315"/>
      <c r="T201" s="311"/>
      <c r="U201" s="315"/>
      <c r="V201" s="316"/>
      <c r="W201" s="316"/>
      <c r="X201" s="317"/>
    </row>
    <row r="202" spans="1:24" x14ac:dyDescent="0.3">
      <c r="A202" s="656" t="s">
        <v>241</v>
      </c>
      <c r="B202" s="688" t="s">
        <v>242</v>
      </c>
      <c r="C202" s="665"/>
      <c r="D202" s="665" t="s">
        <v>93</v>
      </c>
      <c r="E202" s="665" t="s">
        <v>40</v>
      </c>
      <c r="F202" s="714">
        <f>1560000/$S$2</f>
        <v>89914.062905261686</v>
      </c>
      <c r="G202" s="665" t="s">
        <v>94</v>
      </c>
      <c r="H202" s="665" t="s">
        <v>94</v>
      </c>
      <c r="I202" s="6" t="s">
        <v>43</v>
      </c>
      <c r="J202" s="19">
        <v>40072</v>
      </c>
      <c r="K202" s="19">
        <v>40076</v>
      </c>
      <c r="L202" s="7"/>
      <c r="M202" s="9">
        <v>40119</v>
      </c>
      <c r="N202" s="7">
        <v>40164</v>
      </c>
      <c r="O202" s="13">
        <v>40184</v>
      </c>
      <c r="P202" s="4">
        <f>O202+5</f>
        <v>40189</v>
      </c>
      <c r="Q202" s="23" t="s">
        <v>43</v>
      </c>
      <c r="R202" s="14"/>
      <c r="S202" s="7">
        <f>P202+8</f>
        <v>40197</v>
      </c>
      <c r="T202" s="7">
        <v>40212</v>
      </c>
      <c r="U202" s="4"/>
      <c r="V202" s="4">
        <f>T204+195</f>
        <v>195</v>
      </c>
      <c r="W202" s="4">
        <f>V202+365</f>
        <v>560</v>
      </c>
      <c r="X202" s="12"/>
    </row>
    <row r="203" spans="1:24" x14ac:dyDescent="0.3">
      <c r="A203" s="657"/>
      <c r="B203" s="689"/>
      <c r="C203" s="666"/>
      <c r="D203" s="666"/>
      <c r="E203" s="666"/>
      <c r="F203" s="715"/>
      <c r="G203" s="666"/>
      <c r="H203" s="666"/>
      <c r="I203" s="25" t="s">
        <v>226</v>
      </c>
      <c r="J203" s="19"/>
      <c r="K203" s="19"/>
      <c r="L203" s="7"/>
      <c r="M203" s="9"/>
      <c r="N203" s="7"/>
      <c r="O203" s="13"/>
      <c r="P203" s="7"/>
      <c r="Q203" s="26"/>
      <c r="R203" s="27"/>
      <c r="S203" s="28"/>
      <c r="T203" s="7">
        <f>S204+10</f>
        <v>41037</v>
      </c>
      <c r="U203" s="4"/>
      <c r="V203" s="4">
        <f>T203+120</f>
        <v>41157</v>
      </c>
      <c r="W203" s="4">
        <f>V203+365</f>
        <v>41522</v>
      </c>
      <c r="X203" s="12"/>
    </row>
    <row r="204" spans="1:24" x14ac:dyDescent="0.3">
      <c r="A204" s="657"/>
      <c r="B204" s="689"/>
      <c r="C204" s="666"/>
      <c r="D204" s="666"/>
      <c r="E204" s="666"/>
      <c r="F204" s="715"/>
      <c r="G204" s="666"/>
      <c r="H204" s="666"/>
      <c r="I204" s="6" t="s">
        <v>44</v>
      </c>
      <c r="J204" s="19">
        <v>40905</v>
      </c>
      <c r="K204" s="19">
        <v>40909</v>
      </c>
      <c r="L204" s="11"/>
      <c r="M204" s="15">
        <v>40952</v>
      </c>
      <c r="N204" s="13">
        <v>40997</v>
      </c>
      <c r="O204" s="7">
        <v>41017</v>
      </c>
      <c r="P204" s="4"/>
      <c r="Q204" s="23" t="s">
        <v>44</v>
      </c>
      <c r="R204" s="27">
        <f>1511331.21/S2</f>
        <v>87108.929158093117</v>
      </c>
      <c r="S204" s="7">
        <v>41027</v>
      </c>
      <c r="T204" s="7"/>
      <c r="U204" s="11"/>
      <c r="V204" s="4"/>
      <c r="W204" s="21"/>
      <c r="X204" s="12"/>
    </row>
    <row r="205" spans="1:24" x14ac:dyDescent="0.3">
      <c r="A205" s="42"/>
      <c r="B205" s="51"/>
      <c r="C205" s="46"/>
      <c r="D205" s="47"/>
      <c r="E205" s="47"/>
      <c r="F205" s="52"/>
      <c r="G205" s="47"/>
      <c r="H205" s="47"/>
      <c r="I205" s="310"/>
      <c r="J205" s="311"/>
      <c r="K205" s="311"/>
      <c r="L205" s="312"/>
      <c r="M205" s="313"/>
      <c r="N205" s="311"/>
      <c r="O205" s="311"/>
      <c r="P205" s="311"/>
      <c r="Q205" s="310"/>
      <c r="R205" s="314"/>
      <c r="S205" s="315"/>
      <c r="T205" s="311"/>
      <c r="U205" s="315"/>
      <c r="V205" s="316"/>
      <c r="W205" s="316"/>
      <c r="X205" s="317"/>
    </row>
    <row r="206" spans="1:24" x14ac:dyDescent="0.3">
      <c r="A206" s="656" t="s">
        <v>243</v>
      </c>
      <c r="B206" s="688" t="s">
        <v>244</v>
      </c>
      <c r="C206" s="665"/>
      <c r="D206" s="665" t="s">
        <v>93</v>
      </c>
      <c r="E206" s="665" t="s">
        <v>40</v>
      </c>
      <c r="F206" s="714">
        <f>1560000/$S$2</f>
        <v>89914.062905261686</v>
      </c>
      <c r="G206" s="665" t="s">
        <v>94</v>
      </c>
      <c r="H206" s="665" t="s">
        <v>94</v>
      </c>
      <c r="I206" s="6" t="s">
        <v>43</v>
      </c>
      <c r="J206" s="19">
        <v>40072</v>
      </c>
      <c r="K206" s="19">
        <v>40076</v>
      </c>
      <c r="L206" s="7"/>
      <c r="M206" s="9">
        <v>40119</v>
      </c>
      <c r="N206" s="7">
        <v>40164</v>
      </c>
      <c r="O206" s="13">
        <v>40184</v>
      </c>
      <c r="P206" s="4">
        <f>O206+5</f>
        <v>40189</v>
      </c>
      <c r="Q206" s="23" t="s">
        <v>43</v>
      </c>
      <c r="R206" s="14"/>
      <c r="S206" s="7">
        <f>P206+8</f>
        <v>40197</v>
      </c>
      <c r="T206" s="7">
        <v>40212</v>
      </c>
      <c r="U206" s="4"/>
      <c r="V206" s="4">
        <f>T208+195</f>
        <v>195</v>
      </c>
      <c r="W206" s="4">
        <f>V206+365</f>
        <v>560</v>
      </c>
      <c r="X206" s="12"/>
    </row>
    <row r="207" spans="1:24" x14ac:dyDescent="0.3">
      <c r="A207" s="657"/>
      <c r="B207" s="689"/>
      <c r="C207" s="666"/>
      <c r="D207" s="666"/>
      <c r="E207" s="666"/>
      <c r="F207" s="715"/>
      <c r="G207" s="666"/>
      <c r="H207" s="666"/>
      <c r="I207" s="25" t="s">
        <v>226</v>
      </c>
      <c r="J207" s="19"/>
      <c r="K207" s="19"/>
      <c r="L207" s="7"/>
      <c r="M207" s="9"/>
      <c r="N207" s="7"/>
      <c r="O207" s="13"/>
      <c r="P207" s="7"/>
      <c r="Q207" s="26"/>
      <c r="R207" s="27"/>
      <c r="S207" s="28"/>
      <c r="T207" s="7">
        <f>S208+10</f>
        <v>41037</v>
      </c>
      <c r="U207" s="4"/>
      <c r="V207" s="4">
        <f>T207+120</f>
        <v>41157</v>
      </c>
      <c r="W207" s="4">
        <f>V207+365</f>
        <v>41522</v>
      </c>
      <c r="X207" s="12"/>
    </row>
    <row r="208" spans="1:24" x14ac:dyDescent="0.3">
      <c r="A208" s="657"/>
      <c r="B208" s="689"/>
      <c r="C208" s="666"/>
      <c r="D208" s="666"/>
      <c r="E208" s="666"/>
      <c r="F208" s="715"/>
      <c r="G208" s="666"/>
      <c r="H208" s="666"/>
      <c r="I208" s="6" t="s">
        <v>44</v>
      </c>
      <c r="J208" s="19">
        <v>40905</v>
      </c>
      <c r="K208" s="19">
        <v>40909</v>
      </c>
      <c r="L208" s="11"/>
      <c r="M208" s="15">
        <v>40952</v>
      </c>
      <c r="N208" s="13">
        <v>40997</v>
      </c>
      <c r="O208" s="7">
        <v>41017</v>
      </c>
      <c r="P208" s="4"/>
      <c r="Q208" s="23" t="s">
        <v>44</v>
      </c>
      <c r="R208" s="27">
        <f>1440064.45/S2</f>
        <v>83001.311246750687</v>
      </c>
      <c r="S208" s="7">
        <v>41027</v>
      </c>
      <c r="T208" s="7"/>
      <c r="U208" s="11"/>
      <c r="V208" s="4"/>
      <c r="W208" s="21"/>
      <c r="X208" s="12"/>
    </row>
    <row r="209" spans="1:24" x14ac:dyDescent="0.3">
      <c r="A209" s="42"/>
      <c r="B209" s="51"/>
      <c r="C209" s="46"/>
      <c r="D209" s="47"/>
      <c r="E209" s="47"/>
      <c r="F209" s="52"/>
      <c r="G209" s="47"/>
      <c r="H209" s="47"/>
      <c r="I209" s="310"/>
      <c r="J209" s="311"/>
      <c r="K209" s="311"/>
      <c r="L209" s="312"/>
      <c r="M209" s="313"/>
      <c r="N209" s="311"/>
      <c r="O209" s="311"/>
      <c r="P209" s="311"/>
      <c r="Q209" s="310"/>
      <c r="R209" s="314"/>
      <c r="S209" s="315"/>
      <c r="T209" s="311"/>
      <c r="U209" s="315"/>
      <c r="V209" s="316"/>
      <c r="W209" s="316"/>
      <c r="X209" s="317"/>
    </row>
    <row r="210" spans="1:24" x14ac:dyDescent="0.3">
      <c r="A210" s="656" t="s">
        <v>245</v>
      </c>
      <c r="B210" s="688" t="s">
        <v>246</v>
      </c>
      <c r="C210" s="665"/>
      <c r="D210" s="665" t="s">
        <v>93</v>
      </c>
      <c r="E210" s="665" t="s">
        <v>40</v>
      </c>
      <c r="F210" s="714">
        <f>1560000/$S$2</f>
        <v>89914.062905261686</v>
      </c>
      <c r="G210" s="665" t="s">
        <v>94</v>
      </c>
      <c r="H210" s="665" t="s">
        <v>94</v>
      </c>
      <c r="I210" s="6" t="s">
        <v>43</v>
      </c>
      <c r="J210" s="19">
        <v>40072</v>
      </c>
      <c r="K210" s="19">
        <v>40076</v>
      </c>
      <c r="L210" s="7"/>
      <c r="M210" s="9">
        <v>40119</v>
      </c>
      <c r="N210" s="7">
        <v>40164</v>
      </c>
      <c r="O210" s="13">
        <v>40184</v>
      </c>
      <c r="P210" s="4">
        <f>O210+5</f>
        <v>40189</v>
      </c>
      <c r="Q210" s="23" t="s">
        <v>43</v>
      </c>
      <c r="R210" s="14"/>
      <c r="S210" s="7">
        <f>P210+8</f>
        <v>40197</v>
      </c>
      <c r="T210" s="7">
        <v>40212</v>
      </c>
      <c r="U210" s="4"/>
      <c r="V210" s="4">
        <f>T213+195</f>
        <v>195</v>
      </c>
      <c r="W210" s="4">
        <f>V210+365</f>
        <v>560</v>
      </c>
      <c r="X210" s="12"/>
    </row>
    <row r="211" spans="1:24" x14ac:dyDescent="0.3">
      <c r="A211" s="657"/>
      <c r="B211" s="689"/>
      <c r="C211" s="666"/>
      <c r="D211" s="666"/>
      <c r="E211" s="666"/>
      <c r="F211" s="715"/>
      <c r="G211" s="666"/>
      <c r="H211" s="666"/>
      <c r="I211" s="25" t="s">
        <v>226</v>
      </c>
      <c r="J211" s="19"/>
      <c r="K211" s="19"/>
      <c r="L211" s="7"/>
      <c r="M211" s="9"/>
      <c r="N211" s="7"/>
      <c r="O211" s="13"/>
      <c r="P211" s="7"/>
      <c r="Q211" s="26" t="s">
        <v>226</v>
      </c>
      <c r="R211" s="27"/>
      <c r="S211" s="28"/>
      <c r="T211" s="7"/>
      <c r="U211" s="4"/>
      <c r="V211" s="4">
        <v>41019</v>
      </c>
      <c r="W211" s="4">
        <f>V211+365</f>
        <v>41384</v>
      </c>
      <c r="X211" s="12"/>
    </row>
    <row r="212" spans="1:24" x14ac:dyDescent="0.3">
      <c r="A212" s="657"/>
      <c r="B212" s="689"/>
      <c r="C212" s="666"/>
      <c r="D212" s="666"/>
      <c r="E212" s="666"/>
      <c r="F212" s="715"/>
      <c r="G212" s="666"/>
      <c r="H212" s="666"/>
      <c r="I212" s="25" t="s">
        <v>226</v>
      </c>
      <c r="J212" s="19"/>
      <c r="K212" s="19"/>
      <c r="L212" s="7"/>
      <c r="M212" s="9"/>
      <c r="N212" s="7"/>
      <c r="O212" s="13"/>
      <c r="P212" s="7"/>
      <c r="Q212" s="26"/>
      <c r="R212" s="27"/>
      <c r="S212" s="28"/>
      <c r="T212" s="7">
        <f>S213+10</f>
        <v>41037</v>
      </c>
      <c r="U212" s="4"/>
      <c r="V212" s="4">
        <f>T212+120</f>
        <v>41157</v>
      </c>
      <c r="W212" s="4">
        <f>V212+365</f>
        <v>41522</v>
      </c>
      <c r="X212" s="12"/>
    </row>
    <row r="213" spans="1:24" x14ac:dyDescent="0.3">
      <c r="A213" s="657"/>
      <c r="B213" s="689"/>
      <c r="C213" s="666"/>
      <c r="D213" s="666"/>
      <c r="E213" s="666"/>
      <c r="F213" s="715"/>
      <c r="G213" s="666"/>
      <c r="H213" s="666"/>
      <c r="I213" s="6" t="s">
        <v>44</v>
      </c>
      <c r="J213" s="19">
        <v>40905</v>
      </c>
      <c r="K213" s="19">
        <v>40909</v>
      </c>
      <c r="L213" s="11"/>
      <c r="M213" s="15">
        <v>40952</v>
      </c>
      <c r="N213" s="13">
        <v>40997</v>
      </c>
      <c r="O213" s="7">
        <v>41017</v>
      </c>
      <c r="P213" s="4"/>
      <c r="Q213" s="23" t="s">
        <v>44</v>
      </c>
      <c r="R213" s="27"/>
      <c r="S213" s="7">
        <v>41027</v>
      </c>
      <c r="T213" s="7"/>
      <c r="U213" s="11"/>
      <c r="V213" s="4"/>
      <c r="W213" s="21"/>
      <c r="X213" s="12"/>
    </row>
    <row r="214" spans="1:24" x14ac:dyDescent="0.3">
      <c r="A214" s="42"/>
      <c r="B214" s="51"/>
      <c r="C214" s="46"/>
      <c r="D214" s="47"/>
      <c r="E214" s="47"/>
      <c r="F214" s="52"/>
      <c r="G214" s="47"/>
      <c r="H214" s="47"/>
      <c r="I214" s="310"/>
      <c r="J214" s="311"/>
      <c r="K214" s="311"/>
      <c r="L214" s="312"/>
      <c r="M214" s="313"/>
      <c r="N214" s="311"/>
      <c r="O214" s="311"/>
      <c r="P214" s="311"/>
      <c r="Q214" s="310"/>
      <c r="R214" s="314"/>
      <c r="S214" s="315"/>
      <c r="T214" s="311"/>
      <c r="U214" s="315"/>
      <c r="V214" s="316"/>
      <c r="W214" s="316"/>
      <c r="X214" s="317"/>
    </row>
    <row r="215" spans="1:24" x14ac:dyDescent="0.3">
      <c r="A215" s="656" t="s">
        <v>247</v>
      </c>
      <c r="B215" s="688" t="s">
        <v>248</v>
      </c>
      <c r="C215" s="665"/>
      <c r="D215" s="665" t="s">
        <v>93</v>
      </c>
      <c r="E215" s="665" t="s">
        <v>40</v>
      </c>
      <c r="F215" s="714">
        <f>1560000/$S$2</f>
        <v>89914.062905261686</v>
      </c>
      <c r="G215" s="665" t="s">
        <v>94</v>
      </c>
      <c r="H215" s="665" t="s">
        <v>94</v>
      </c>
      <c r="I215" s="6" t="s">
        <v>43</v>
      </c>
      <c r="J215" s="19">
        <v>40072</v>
      </c>
      <c r="K215" s="19">
        <v>40076</v>
      </c>
      <c r="L215" s="7"/>
      <c r="M215" s="9">
        <v>40119</v>
      </c>
      <c r="N215" s="7">
        <v>40164</v>
      </c>
      <c r="O215" s="13">
        <v>40184</v>
      </c>
      <c r="P215" s="4">
        <f>O215+5</f>
        <v>40189</v>
      </c>
      <c r="Q215" s="23" t="s">
        <v>43</v>
      </c>
      <c r="R215" s="14"/>
      <c r="S215" s="7">
        <f>P215+8</f>
        <v>40197</v>
      </c>
      <c r="T215" s="7">
        <v>40212</v>
      </c>
      <c r="U215" s="4"/>
      <c r="V215" s="4">
        <f>T218+195</f>
        <v>195</v>
      </c>
      <c r="W215" s="4">
        <f>V215+365</f>
        <v>560</v>
      </c>
      <c r="X215" s="12"/>
    </row>
    <row r="216" spans="1:24" x14ac:dyDescent="0.3">
      <c r="A216" s="657"/>
      <c r="B216" s="689"/>
      <c r="C216" s="666"/>
      <c r="D216" s="666"/>
      <c r="E216" s="666"/>
      <c r="F216" s="715"/>
      <c r="G216" s="666"/>
      <c r="H216" s="666"/>
      <c r="I216" s="25" t="s">
        <v>226</v>
      </c>
      <c r="J216" s="19"/>
      <c r="K216" s="19"/>
      <c r="L216" s="7"/>
      <c r="M216" s="9"/>
      <c r="N216" s="7"/>
      <c r="O216" s="13"/>
      <c r="P216" s="7"/>
      <c r="Q216" s="26" t="s">
        <v>226</v>
      </c>
      <c r="R216" s="27"/>
      <c r="S216" s="28"/>
      <c r="T216" s="7"/>
      <c r="U216" s="4"/>
      <c r="V216" s="4">
        <v>41014</v>
      </c>
      <c r="W216" s="4">
        <f>V216+365</f>
        <v>41379</v>
      </c>
      <c r="X216" s="12"/>
    </row>
    <row r="217" spans="1:24" x14ac:dyDescent="0.3">
      <c r="A217" s="657"/>
      <c r="B217" s="689"/>
      <c r="C217" s="666"/>
      <c r="D217" s="666"/>
      <c r="E217" s="666"/>
      <c r="F217" s="715"/>
      <c r="G217" s="666"/>
      <c r="H217" s="666"/>
      <c r="I217" s="25" t="s">
        <v>226</v>
      </c>
      <c r="J217" s="19"/>
      <c r="K217" s="19"/>
      <c r="L217" s="7"/>
      <c r="M217" s="9"/>
      <c r="N217" s="7"/>
      <c r="O217" s="13"/>
      <c r="P217" s="7"/>
      <c r="Q217" s="26"/>
      <c r="R217" s="27"/>
      <c r="S217" s="28"/>
      <c r="T217" s="7">
        <f>S218+10</f>
        <v>41037</v>
      </c>
      <c r="U217" s="4"/>
      <c r="V217" s="4">
        <f>T217+120</f>
        <v>41157</v>
      </c>
      <c r="W217" s="4">
        <f>V217+365</f>
        <v>41522</v>
      </c>
      <c r="X217" s="12"/>
    </row>
    <row r="218" spans="1:24" x14ac:dyDescent="0.3">
      <c r="A218" s="657"/>
      <c r="B218" s="689"/>
      <c r="C218" s="666"/>
      <c r="D218" s="666"/>
      <c r="E218" s="666"/>
      <c r="F218" s="715"/>
      <c r="G218" s="666"/>
      <c r="H218" s="666"/>
      <c r="I218" s="6" t="s">
        <v>44</v>
      </c>
      <c r="J218" s="19">
        <v>40905</v>
      </c>
      <c r="K218" s="19">
        <v>40909</v>
      </c>
      <c r="L218" s="11"/>
      <c r="M218" s="15">
        <v>40952</v>
      </c>
      <c r="N218" s="13">
        <v>40997</v>
      </c>
      <c r="O218" s="7">
        <v>41017</v>
      </c>
      <c r="P218" s="4"/>
      <c r="Q218" s="23" t="s">
        <v>44</v>
      </c>
      <c r="R218" s="27">
        <f>2118000.24/S2</f>
        <v>122075.64539276884</v>
      </c>
      <c r="S218" s="7">
        <v>41027</v>
      </c>
      <c r="T218" s="7"/>
      <c r="U218" s="11"/>
      <c r="V218" s="4"/>
      <c r="W218" s="21"/>
      <c r="X218" s="12"/>
    </row>
    <row r="219" spans="1:24" x14ac:dyDescent="0.3">
      <c r="A219" s="42"/>
      <c r="B219" s="51"/>
      <c r="C219" s="46"/>
      <c r="D219" s="46"/>
      <c r="E219" s="46"/>
      <c r="F219" s="53"/>
      <c r="G219" s="46"/>
      <c r="H219" s="46"/>
      <c r="I219" s="310"/>
      <c r="J219" s="311"/>
      <c r="K219" s="311"/>
      <c r="L219" s="312"/>
      <c r="M219" s="313"/>
      <c r="N219" s="311"/>
      <c r="O219" s="311"/>
      <c r="P219" s="311"/>
      <c r="Q219" s="310"/>
      <c r="R219" s="314"/>
      <c r="S219" s="315"/>
      <c r="T219" s="311"/>
      <c r="U219" s="315"/>
      <c r="V219" s="316"/>
      <c r="W219" s="316"/>
      <c r="X219" s="317"/>
    </row>
    <row r="220" spans="1:24" x14ac:dyDescent="0.3">
      <c r="A220" s="656" t="s">
        <v>249</v>
      </c>
      <c r="B220" s="688" t="s">
        <v>250</v>
      </c>
      <c r="C220" s="665"/>
      <c r="D220" s="665" t="s">
        <v>93</v>
      </c>
      <c r="E220" s="665" t="s">
        <v>40</v>
      </c>
      <c r="F220" s="714">
        <f>1560000/$S$2</f>
        <v>89914.062905261686</v>
      </c>
      <c r="G220" s="665" t="s">
        <v>94</v>
      </c>
      <c r="H220" s="665" t="s">
        <v>94</v>
      </c>
      <c r="I220" s="6" t="s">
        <v>43</v>
      </c>
      <c r="J220" s="19">
        <v>40072</v>
      </c>
      <c r="K220" s="19">
        <v>40076</v>
      </c>
      <c r="L220" s="7"/>
      <c r="M220" s="9">
        <v>40119</v>
      </c>
      <c r="N220" s="7">
        <v>40164</v>
      </c>
      <c r="O220" s="13">
        <v>40184</v>
      </c>
      <c r="P220" s="4">
        <f>O220+5</f>
        <v>40189</v>
      </c>
      <c r="Q220" s="23" t="s">
        <v>43</v>
      </c>
      <c r="R220" s="14"/>
      <c r="S220" s="7">
        <f>P220+8</f>
        <v>40197</v>
      </c>
      <c r="T220" s="7">
        <v>40212</v>
      </c>
      <c r="U220" s="4"/>
      <c r="V220" s="4">
        <f>T223+195</f>
        <v>195</v>
      </c>
      <c r="W220" s="4">
        <f>V220+365</f>
        <v>560</v>
      </c>
      <c r="X220" s="12"/>
    </row>
    <row r="221" spans="1:24" x14ac:dyDescent="0.3">
      <c r="A221" s="657"/>
      <c r="B221" s="689"/>
      <c r="C221" s="666"/>
      <c r="D221" s="666"/>
      <c r="E221" s="666"/>
      <c r="F221" s="715"/>
      <c r="G221" s="666"/>
      <c r="H221" s="666"/>
      <c r="I221" s="25" t="s">
        <v>226</v>
      </c>
      <c r="J221" s="19"/>
      <c r="K221" s="19"/>
      <c r="L221" s="7"/>
      <c r="M221" s="9"/>
      <c r="N221" s="7"/>
      <c r="O221" s="13"/>
      <c r="P221" s="7"/>
      <c r="Q221" s="26" t="s">
        <v>226</v>
      </c>
      <c r="R221" s="30"/>
      <c r="S221" s="13"/>
      <c r="T221" s="7"/>
      <c r="U221" s="4"/>
      <c r="V221" s="4">
        <v>41044</v>
      </c>
      <c r="W221" s="4">
        <f>V221+365</f>
        <v>41409</v>
      </c>
      <c r="X221" s="12"/>
    </row>
    <row r="222" spans="1:24" x14ac:dyDescent="0.3">
      <c r="A222" s="657"/>
      <c r="B222" s="689"/>
      <c r="C222" s="666"/>
      <c r="D222" s="666"/>
      <c r="E222" s="666"/>
      <c r="F222" s="715"/>
      <c r="G222" s="666"/>
      <c r="H222" s="666"/>
      <c r="I222" s="25" t="s">
        <v>226</v>
      </c>
      <c r="J222" s="19"/>
      <c r="K222" s="19"/>
      <c r="L222" s="7"/>
      <c r="M222" s="9"/>
      <c r="N222" s="7"/>
      <c r="O222" s="13"/>
      <c r="P222" s="7"/>
      <c r="Q222" s="26"/>
      <c r="R222" s="27"/>
      <c r="S222" s="28"/>
      <c r="T222" s="7">
        <f>S223+10</f>
        <v>41037</v>
      </c>
      <c r="U222" s="4"/>
      <c r="V222" s="4">
        <f>T222+120</f>
        <v>41157</v>
      </c>
      <c r="W222" s="4">
        <f>V222+365</f>
        <v>41522</v>
      </c>
      <c r="X222" s="12"/>
    </row>
    <row r="223" spans="1:24" x14ac:dyDescent="0.3">
      <c r="A223" s="657"/>
      <c r="B223" s="689"/>
      <c r="C223" s="666"/>
      <c r="D223" s="666"/>
      <c r="E223" s="666"/>
      <c r="F223" s="715"/>
      <c r="G223" s="666"/>
      <c r="H223" s="666"/>
      <c r="I223" s="6" t="s">
        <v>44</v>
      </c>
      <c r="J223" s="19">
        <v>40905</v>
      </c>
      <c r="K223" s="19">
        <v>40909</v>
      </c>
      <c r="L223" s="11"/>
      <c r="M223" s="15">
        <v>40952</v>
      </c>
      <c r="N223" s="13">
        <v>40997</v>
      </c>
      <c r="O223" s="7">
        <v>41017</v>
      </c>
      <c r="P223" s="4"/>
      <c r="Q223" s="23" t="s">
        <v>44</v>
      </c>
      <c r="R223" s="27">
        <f>1394734.33/S2</f>
        <v>80388.609156248742</v>
      </c>
      <c r="S223" s="7">
        <v>41027</v>
      </c>
      <c r="T223" s="7"/>
      <c r="U223" s="11"/>
      <c r="V223" s="4"/>
      <c r="W223" s="21"/>
      <c r="X223" s="12"/>
    </row>
    <row r="224" spans="1:24" x14ac:dyDescent="0.3">
      <c r="A224" s="42"/>
      <c r="B224" s="51"/>
      <c r="C224" s="46"/>
      <c r="D224" s="47"/>
      <c r="E224" s="47"/>
      <c r="F224" s="52"/>
      <c r="G224" s="47"/>
      <c r="H224" s="47"/>
      <c r="I224" s="310"/>
      <c r="J224" s="311"/>
      <c r="K224" s="311"/>
      <c r="L224" s="312"/>
      <c r="M224" s="313"/>
      <c r="N224" s="311"/>
      <c r="O224" s="311"/>
      <c r="P224" s="311"/>
      <c r="Q224" s="310"/>
      <c r="R224" s="314"/>
      <c r="S224" s="315"/>
      <c r="T224" s="311"/>
      <c r="U224" s="315"/>
      <c r="V224" s="316"/>
      <c r="W224" s="316"/>
      <c r="X224" s="317"/>
    </row>
    <row r="225" spans="1:24" x14ac:dyDescent="0.3">
      <c r="A225" s="656" t="s">
        <v>251</v>
      </c>
      <c r="B225" s="688" t="s">
        <v>252</v>
      </c>
      <c r="C225" s="665"/>
      <c r="D225" s="665" t="s">
        <v>93</v>
      </c>
      <c r="E225" s="665" t="s">
        <v>40</v>
      </c>
      <c r="F225" s="714">
        <f>1485000/S2</f>
        <v>85591.271419431811</v>
      </c>
      <c r="G225" s="665" t="s">
        <v>94</v>
      </c>
      <c r="H225" s="665" t="s">
        <v>94</v>
      </c>
      <c r="I225" s="6" t="s">
        <v>43</v>
      </c>
      <c r="J225" s="19">
        <v>40410</v>
      </c>
      <c r="K225" s="19">
        <v>40426</v>
      </c>
      <c r="L225" s="7"/>
      <c r="M225" s="9">
        <v>40436</v>
      </c>
      <c r="N225" s="7">
        <v>40466</v>
      </c>
      <c r="O225" s="13">
        <v>40481</v>
      </c>
      <c r="P225" s="4">
        <f>O225+5</f>
        <v>40486</v>
      </c>
      <c r="Q225" s="23" t="s">
        <v>43</v>
      </c>
      <c r="R225" s="14"/>
      <c r="S225" s="13">
        <v>40502</v>
      </c>
      <c r="T225" s="7">
        <v>40509</v>
      </c>
      <c r="U225" s="4"/>
      <c r="V225" s="16">
        <v>40690</v>
      </c>
      <c r="W225" s="16">
        <v>41055</v>
      </c>
      <c r="X225" s="12"/>
    </row>
    <row r="226" spans="1:24" x14ac:dyDescent="0.3">
      <c r="A226" s="657"/>
      <c r="B226" s="689"/>
      <c r="C226" s="666"/>
      <c r="D226" s="666"/>
      <c r="E226" s="666"/>
      <c r="F226" s="715"/>
      <c r="G226" s="666"/>
      <c r="H226" s="666"/>
      <c r="I226" s="25" t="s">
        <v>226</v>
      </c>
      <c r="J226" s="19"/>
      <c r="K226" s="19"/>
      <c r="L226" s="7"/>
      <c r="M226" s="9"/>
      <c r="N226" s="7"/>
      <c r="O226" s="13"/>
      <c r="P226" s="7"/>
      <c r="Q226" s="26" t="s">
        <v>226</v>
      </c>
      <c r="R226" s="27"/>
      <c r="S226" s="13"/>
      <c r="T226" s="7"/>
      <c r="U226" s="4"/>
      <c r="V226" s="16">
        <v>41080</v>
      </c>
      <c r="W226" s="16">
        <f>V226+365</f>
        <v>41445</v>
      </c>
      <c r="X226" s="12"/>
    </row>
    <row r="227" spans="1:24" x14ac:dyDescent="0.3">
      <c r="A227" s="657"/>
      <c r="B227" s="689"/>
      <c r="C227" s="666"/>
      <c r="D227" s="666"/>
      <c r="E227" s="666"/>
      <c r="F227" s="715"/>
      <c r="G227" s="666"/>
      <c r="H227" s="666"/>
      <c r="I227" s="25" t="s">
        <v>226</v>
      </c>
      <c r="J227" s="19"/>
      <c r="K227" s="19"/>
      <c r="L227" s="7"/>
      <c r="M227" s="9"/>
      <c r="N227" s="7"/>
      <c r="O227" s="13"/>
      <c r="P227" s="7"/>
      <c r="Q227" s="26"/>
      <c r="R227" s="27"/>
      <c r="S227" s="28"/>
      <c r="T227" s="7">
        <f>S228+10</f>
        <v>41037</v>
      </c>
      <c r="U227" s="4"/>
      <c r="V227" s="16">
        <f>T227+120</f>
        <v>41157</v>
      </c>
      <c r="W227" s="16">
        <f>V227+365</f>
        <v>41522</v>
      </c>
      <c r="X227" s="12"/>
    </row>
    <row r="228" spans="1:24" x14ac:dyDescent="0.3">
      <c r="A228" s="657"/>
      <c r="B228" s="689"/>
      <c r="C228" s="666"/>
      <c r="D228" s="666"/>
      <c r="E228" s="666"/>
      <c r="F228" s="715"/>
      <c r="G228" s="666"/>
      <c r="H228" s="666"/>
      <c r="I228" s="6" t="s">
        <v>44</v>
      </c>
      <c r="J228" s="19">
        <v>40905</v>
      </c>
      <c r="K228" s="19">
        <v>40909</v>
      </c>
      <c r="L228" s="11"/>
      <c r="M228" s="15">
        <v>40952</v>
      </c>
      <c r="N228" s="13">
        <v>40997</v>
      </c>
      <c r="O228" s="7">
        <v>41017</v>
      </c>
      <c r="P228" s="4"/>
      <c r="Q228" s="23" t="s">
        <v>44</v>
      </c>
      <c r="R228" s="27">
        <f>1260356.38/S2</f>
        <v>72643.437714338404</v>
      </c>
      <c r="S228" s="7">
        <v>41027</v>
      </c>
      <c r="T228" s="7"/>
      <c r="U228" s="11"/>
      <c r="V228" s="16">
        <v>40689</v>
      </c>
      <c r="W228" s="31"/>
      <c r="X228" s="12"/>
    </row>
    <row r="229" spans="1:24" x14ac:dyDescent="0.3">
      <c r="A229" s="42"/>
      <c r="B229" s="51"/>
      <c r="C229" s="46"/>
      <c r="D229" s="47"/>
      <c r="E229" s="47"/>
      <c r="F229" s="52"/>
      <c r="G229" s="47"/>
      <c r="H229" s="47"/>
      <c r="I229" s="310"/>
      <c r="J229" s="311"/>
      <c r="K229" s="311"/>
      <c r="L229" s="312"/>
      <c r="M229" s="313"/>
      <c r="N229" s="311"/>
      <c r="O229" s="311"/>
      <c r="P229" s="311"/>
      <c r="Q229" s="310"/>
      <c r="R229" s="314"/>
      <c r="S229" s="315"/>
      <c r="T229" s="311"/>
      <c r="U229" s="315"/>
      <c r="V229" s="316"/>
      <c r="W229" s="316"/>
      <c r="X229" s="317"/>
    </row>
    <row r="230" spans="1:24" x14ac:dyDescent="0.3">
      <c r="A230" s="656" t="s">
        <v>253</v>
      </c>
      <c r="B230" s="688" t="s">
        <v>254</v>
      </c>
      <c r="C230" s="665"/>
      <c r="D230" s="665" t="s">
        <v>93</v>
      </c>
      <c r="E230" s="665" t="s">
        <v>40</v>
      </c>
      <c r="F230" s="714">
        <f>1485000/S2</f>
        <v>85591.271419431811</v>
      </c>
      <c r="G230" s="719" t="s">
        <v>94</v>
      </c>
      <c r="H230" s="665" t="s">
        <v>94</v>
      </c>
      <c r="I230" s="6" t="s">
        <v>43</v>
      </c>
      <c r="J230" s="19">
        <v>40410</v>
      </c>
      <c r="K230" s="19">
        <v>40426</v>
      </c>
      <c r="L230" s="7"/>
      <c r="M230" s="9">
        <v>40436</v>
      </c>
      <c r="N230" s="7">
        <v>40466</v>
      </c>
      <c r="O230" s="13">
        <v>40481</v>
      </c>
      <c r="P230" s="4">
        <f>O230+5</f>
        <v>40486</v>
      </c>
      <c r="Q230" s="28" t="s">
        <v>43</v>
      </c>
      <c r="R230" s="14"/>
      <c r="S230" s="13">
        <v>40502</v>
      </c>
      <c r="T230" s="7">
        <v>40509</v>
      </c>
      <c r="U230" s="4"/>
      <c r="V230" s="16">
        <v>40690</v>
      </c>
      <c r="W230" s="16">
        <f>V230+365</f>
        <v>41055</v>
      </c>
      <c r="X230" s="12"/>
    </row>
    <row r="231" spans="1:24" x14ac:dyDescent="0.3">
      <c r="A231" s="657"/>
      <c r="B231" s="689"/>
      <c r="C231" s="666"/>
      <c r="D231" s="666"/>
      <c r="E231" s="666"/>
      <c r="F231" s="715"/>
      <c r="G231" s="720"/>
      <c r="H231" s="666"/>
      <c r="I231" s="25" t="s">
        <v>226</v>
      </c>
      <c r="J231" s="19"/>
      <c r="K231" s="19"/>
      <c r="L231" s="7"/>
      <c r="M231" s="9"/>
      <c r="N231" s="7"/>
      <c r="O231" s="13"/>
      <c r="P231" s="7"/>
      <c r="Q231" s="26" t="s">
        <v>226</v>
      </c>
      <c r="R231" s="27"/>
      <c r="S231" s="13"/>
      <c r="T231" s="7"/>
      <c r="U231" s="4"/>
      <c r="V231" s="16">
        <v>41014</v>
      </c>
      <c r="W231" s="16">
        <f>V231+365</f>
        <v>41379</v>
      </c>
      <c r="X231" s="12"/>
    </row>
    <row r="232" spans="1:24" x14ac:dyDescent="0.3">
      <c r="A232" s="657"/>
      <c r="B232" s="689"/>
      <c r="C232" s="666"/>
      <c r="D232" s="666"/>
      <c r="E232" s="666"/>
      <c r="F232" s="715"/>
      <c r="G232" s="720"/>
      <c r="H232" s="666"/>
      <c r="I232" s="25" t="s">
        <v>226</v>
      </c>
      <c r="J232" s="19"/>
      <c r="K232" s="19"/>
      <c r="L232" s="7"/>
      <c r="M232" s="9"/>
      <c r="N232" s="7"/>
      <c r="O232" s="13"/>
      <c r="P232" s="7"/>
      <c r="Q232" s="26"/>
      <c r="R232" s="27"/>
      <c r="S232" s="28"/>
      <c r="T232" s="7">
        <f>S233+10</f>
        <v>41037</v>
      </c>
      <c r="U232" s="4"/>
      <c r="V232" s="16">
        <f>T232+120</f>
        <v>41157</v>
      </c>
      <c r="W232" s="16">
        <f>V232+365</f>
        <v>41522</v>
      </c>
      <c r="X232" s="12"/>
    </row>
    <row r="233" spans="1:24" x14ac:dyDescent="0.3">
      <c r="A233" s="657"/>
      <c r="B233" s="689"/>
      <c r="C233" s="666"/>
      <c r="D233" s="666"/>
      <c r="E233" s="666"/>
      <c r="F233" s="715"/>
      <c r="G233" s="720"/>
      <c r="H233" s="666"/>
      <c r="I233" s="6" t="s">
        <v>44</v>
      </c>
      <c r="J233" s="19">
        <v>40905</v>
      </c>
      <c r="K233" s="19">
        <v>40909</v>
      </c>
      <c r="L233" s="11"/>
      <c r="M233" s="15">
        <v>40952</v>
      </c>
      <c r="N233" s="13">
        <v>40997</v>
      </c>
      <c r="O233" s="7">
        <v>41017</v>
      </c>
      <c r="P233" s="4"/>
      <c r="Q233" s="23" t="s">
        <v>44</v>
      </c>
      <c r="R233" s="27">
        <f>1864904/S2</f>
        <v>107487.88177453472</v>
      </c>
      <c r="S233" s="7">
        <v>41027</v>
      </c>
      <c r="T233" s="7"/>
      <c r="U233" s="11"/>
      <c r="V233" s="16"/>
      <c r="W233" s="33"/>
      <c r="X233" s="12"/>
    </row>
    <row r="234" spans="1:24" x14ac:dyDescent="0.3">
      <c r="A234" s="43"/>
      <c r="B234" s="49"/>
      <c r="C234" s="50"/>
      <c r="D234" s="46"/>
      <c r="E234" s="46"/>
      <c r="F234" s="54"/>
      <c r="G234" s="721"/>
      <c r="H234" s="667"/>
      <c r="I234" s="310"/>
      <c r="J234" s="311"/>
      <c r="K234" s="311"/>
      <c r="L234" s="312"/>
      <c r="M234" s="313"/>
      <c r="N234" s="311"/>
      <c r="O234" s="311"/>
      <c r="P234" s="311"/>
      <c r="Q234" s="310"/>
      <c r="R234" s="314"/>
      <c r="S234" s="315"/>
      <c r="T234" s="311"/>
      <c r="U234" s="315"/>
      <c r="V234" s="316"/>
      <c r="W234" s="316"/>
      <c r="X234" s="317"/>
    </row>
    <row r="235" spans="1:24" x14ac:dyDescent="0.3">
      <c r="A235" s="656" t="s">
        <v>255</v>
      </c>
      <c r="B235" s="688" t="s">
        <v>256</v>
      </c>
      <c r="C235" s="665"/>
      <c r="D235" s="665" t="s">
        <v>93</v>
      </c>
      <c r="E235" s="665" t="s">
        <v>40</v>
      </c>
      <c r="F235" s="714">
        <f>1864904.11/S2</f>
        <v>107487.88811462889</v>
      </c>
      <c r="G235" s="668" t="s">
        <v>94</v>
      </c>
      <c r="H235" s="668" t="s">
        <v>94</v>
      </c>
      <c r="I235" s="6" t="s">
        <v>43</v>
      </c>
      <c r="J235" s="19">
        <v>39798</v>
      </c>
      <c r="K235" s="19">
        <v>39803</v>
      </c>
      <c r="L235" s="7"/>
      <c r="M235" s="9">
        <v>39929</v>
      </c>
      <c r="N235" s="7">
        <v>39974</v>
      </c>
      <c r="O235" s="13">
        <v>39994</v>
      </c>
      <c r="P235" s="4">
        <f>O235+5</f>
        <v>39999</v>
      </c>
      <c r="Q235" s="23" t="s">
        <v>43</v>
      </c>
      <c r="R235" s="14"/>
      <c r="S235" s="7">
        <f>P235+8</f>
        <v>40007</v>
      </c>
      <c r="T235" s="7">
        <v>40028</v>
      </c>
      <c r="U235" s="4"/>
      <c r="V235" s="16">
        <v>40212</v>
      </c>
      <c r="W235" s="16">
        <v>40827</v>
      </c>
      <c r="X235" s="12"/>
    </row>
    <row r="236" spans="1:24" x14ac:dyDescent="0.3">
      <c r="A236" s="657"/>
      <c r="B236" s="689"/>
      <c r="C236" s="666"/>
      <c r="D236" s="666"/>
      <c r="E236" s="666"/>
      <c r="F236" s="715"/>
      <c r="G236" s="669"/>
      <c r="H236" s="669"/>
      <c r="I236" s="25" t="s">
        <v>226</v>
      </c>
      <c r="J236" s="19"/>
      <c r="K236" s="19"/>
      <c r="L236" s="7"/>
      <c r="M236" s="9"/>
      <c r="N236" s="7"/>
      <c r="O236" s="13"/>
      <c r="P236" s="7"/>
      <c r="Q236" s="26" t="s">
        <v>226</v>
      </c>
      <c r="R236" s="27"/>
      <c r="S236" s="13"/>
      <c r="T236" s="7"/>
      <c r="U236" s="4"/>
      <c r="V236" s="16">
        <v>41059</v>
      </c>
      <c r="W236" s="16">
        <f>V236+365</f>
        <v>41424</v>
      </c>
      <c r="X236" s="12"/>
    </row>
    <row r="237" spans="1:24" x14ac:dyDescent="0.3">
      <c r="A237" s="657"/>
      <c r="B237" s="689"/>
      <c r="C237" s="666"/>
      <c r="D237" s="666" t="s">
        <v>93</v>
      </c>
      <c r="E237" s="666" t="s">
        <v>40</v>
      </c>
      <c r="F237" s="715">
        <f>1485000/S2</f>
        <v>85591.271419431811</v>
      </c>
      <c r="G237" s="669"/>
      <c r="H237" s="669"/>
      <c r="I237" s="6" t="s">
        <v>44</v>
      </c>
      <c r="J237" s="19">
        <v>40278</v>
      </c>
      <c r="K237" s="19">
        <v>40283</v>
      </c>
      <c r="L237" s="11"/>
      <c r="M237" s="15">
        <v>40409</v>
      </c>
      <c r="N237" s="13">
        <v>40437</v>
      </c>
      <c r="O237" s="7">
        <v>40457</v>
      </c>
      <c r="P237" s="7"/>
      <c r="Q237" s="23" t="s">
        <v>44</v>
      </c>
      <c r="R237" s="27">
        <f>2288148.1/S2</f>
        <v>131882.49499997118</v>
      </c>
      <c r="S237" s="7">
        <v>40487</v>
      </c>
      <c r="T237" s="7">
        <v>40504</v>
      </c>
      <c r="U237" s="11"/>
      <c r="V237" s="16"/>
      <c r="W237" s="33"/>
      <c r="X237" s="12"/>
    </row>
    <row r="238" spans="1:24" x14ac:dyDescent="0.3">
      <c r="A238" s="657"/>
      <c r="B238" s="689"/>
      <c r="C238" s="666"/>
      <c r="D238" s="666"/>
      <c r="E238" s="666"/>
      <c r="F238" s="715"/>
      <c r="G238" s="670"/>
      <c r="H238" s="670"/>
      <c r="I238" s="310"/>
      <c r="J238" s="311"/>
      <c r="K238" s="311"/>
      <c r="L238" s="312"/>
      <c r="M238" s="313"/>
      <c r="N238" s="311"/>
      <c r="O238" s="311"/>
      <c r="P238" s="311"/>
      <c r="Q238" s="310"/>
      <c r="R238" s="314"/>
      <c r="S238" s="315"/>
      <c r="T238" s="311"/>
      <c r="U238" s="315"/>
      <c r="V238" s="316"/>
      <c r="W238" s="316"/>
      <c r="X238" s="317"/>
    </row>
    <row r="239" spans="1:24" x14ac:dyDescent="0.3">
      <c r="A239" s="656" t="s">
        <v>257</v>
      </c>
      <c r="B239" s="688" t="s">
        <v>258</v>
      </c>
      <c r="C239" s="665"/>
      <c r="D239" s="668" t="s">
        <v>93</v>
      </c>
      <c r="E239" s="668" t="s">
        <v>40</v>
      </c>
      <c r="F239" s="668">
        <f>R237</f>
        <v>131882.49499997118</v>
      </c>
      <c r="G239" s="668" t="s">
        <v>94</v>
      </c>
      <c r="H239" s="668" t="s">
        <v>94</v>
      </c>
      <c r="I239" s="6" t="s">
        <v>43</v>
      </c>
      <c r="J239" s="19">
        <v>40471</v>
      </c>
      <c r="K239" s="19">
        <v>40487</v>
      </c>
      <c r="L239" s="7"/>
      <c r="M239" s="9">
        <v>40497</v>
      </c>
      <c r="N239" s="7">
        <v>40527</v>
      </c>
      <c r="O239" s="13">
        <v>40542</v>
      </c>
      <c r="P239" s="4">
        <f>O239+5</f>
        <v>40547</v>
      </c>
      <c r="Q239" s="23" t="s">
        <v>43</v>
      </c>
      <c r="R239" s="14">
        <f>F241</f>
        <v>0</v>
      </c>
      <c r="S239" s="13">
        <v>40563</v>
      </c>
      <c r="T239" s="7">
        <v>40570</v>
      </c>
      <c r="U239" s="4"/>
      <c r="V239" s="16">
        <v>40751</v>
      </c>
      <c r="W239" s="31">
        <f>V239+365</f>
        <v>41116</v>
      </c>
      <c r="X239" s="12"/>
    </row>
    <row r="240" spans="1:24" x14ac:dyDescent="0.3">
      <c r="A240" s="657"/>
      <c r="B240" s="689"/>
      <c r="C240" s="666"/>
      <c r="D240" s="669"/>
      <c r="E240" s="669"/>
      <c r="F240" s="669"/>
      <c r="G240" s="669"/>
      <c r="H240" s="669"/>
      <c r="I240" s="25" t="s">
        <v>226</v>
      </c>
      <c r="J240" s="19"/>
      <c r="K240" s="19"/>
      <c r="L240" s="7"/>
      <c r="M240" s="9"/>
      <c r="N240" s="7"/>
      <c r="O240" s="13"/>
      <c r="P240" s="7"/>
      <c r="Q240" s="26" t="s">
        <v>226</v>
      </c>
      <c r="R240" s="27"/>
      <c r="S240" s="13"/>
      <c r="T240" s="7"/>
      <c r="U240" s="4"/>
      <c r="V240" s="16">
        <v>41059</v>
      </c>
      <c r="W240" s="31">
        <f>V240+365</f>
        <v>41424</v>
      </c>
      <c r="X240" s="12"/>
    </row>
    <row r="241" spans="1:24" x14ac:dyDescent="0.3">
      <c r="A241" s="657"/>
      <c r="B241" s="689"/>
      <c r="C241" s="666"/>
      <c r="D241" s="669"/>
      <c r="E241" s="669"/>
      <c r="F241" s="669"/>
      <c r="G241" s="669"/>
      <c r="H241" s="669"/>
      <c r="I241" s="6" t="s">
        <v>44</v>
      </c>
      <c r="J241" s="19">
        <v>40449</v>
      </c>
      <c r="K241" s="19">
        <v>40465</v>
      </c>
      <c r="L241" s="11"/>
      <c r="M241" s="15">
        <v>40475</v>
      </c>
      <c r="N241" s="19">
        <v>40505</v>
      </c>
      <c r="O241" s="7">
        <v>40520</v>
      </c>
      <c r="P241" s="7">
        <v>40525</v>
      </c>
      <c r="Q241" s="23" t="s">
        <v>44</v>
      </c>
      <c r="R241" s="27">
        <f>1899957.18/S2</f>
        <v>109508.24961527155</v>
      </c>
      <c r="S241" s="7">
        <v>40533</v>
      </c>
      <c r="T241" s="7"/>
      <c r="U241" s="11"/>
      <c r="V241" s="16"/>
      <c r="W241" s="31"/>
      <c r="X241" s="12"/>
    </row>
    <row r="242" spans="1:24" x14ac:dyDescent="0.3">
      <c r="A242" s="657">
        <v>0</v>
      </c>
      <c r="B242" s="689"/>
      <c r="C242" s="666"/>
      <c r="D242" s="670"/>
      <c r="E242" s="670"/>
      <c r="F242" s="670"/>
      <c r="G242" s="670"/>
      <c r="H242" s="670"/>
      <c r="I242" s="310"/>
      <c r="J242" s="311"/>
      <c r="K242" s="311"/>
      <c r="L242" s="312"/>
      <c r="M242" s="313"/>
      <c r="N242" s="311"/>
      <c r="O242" s="311"/>
      <c r="P242" s="311"/>
      <c r="Q242" s="310"/>
      <c r="R242" s="314"/>
      <c r="S242" s="315"/>
      <c r="T242" s="311"/>
      <c r="U242" s="315"/>
      <c r="V242" s="316"/>
      <c r="W242" s="316"/>
      <c r="X242" s="317"/>
    </row>
    <row r="243" spans="1:24" x14ac:dyDescent="0.3">
      <c r="A243" s="656" t="s">
        <v>259</v>
      </c>
      <c r="B243" s="688" t="s">
        <v>260</v>
      </c>
      <c r="C243" s="665"/>
      <c r="D243" s="665" t="s">
        <v>93</v>
      </c>
      <c r="E243" s="665" t="s">
        <v>40</v>
      </c>
      <c r="F243" s="714">
        <f>1485000/S2</f>
        <v>85591.271419431811</v>
      </c>
      <c r="G243" s="665" t="s">
        <v>94</v>
      </c>
      <c r="H243" s="665" t="s">
        <v>94</v>
      </c>
      <c r="I243" s="6" t="s">
        <v>43</v>
      </c>
      <c r="J243" s="19">
        <v>40471</v>
      </c>
      <c r="K243" s="19">
        <v>40487</v>
      </c>
      <c r="L243" s="7"/>
      <c r="M243" s="9">
        <v>40497</v>
      </c>
      <c r="N243" s="7">
        <v>40527</v>
      </c>
      <c r="O243" s="13">
        <v>40542</v>
      </c>
      <c r="P243" s="4">
        <f>O243+5</f>
        <v>40547</v>
      </c>
      <c r="Q243" s="23" t="s">
        <v>43</v>
      </c>
      <c r="R243" s="14"/>
      <c r="S243" s="13">
        <v>40563</v>
      </c>
      <c r="T243" s="7">
        <v>40570</v>
      </c>
      <c r="U243" s="4"/>
      <c r="V243" s="16">
        <v>40751</v>
      </c>
      <c r="W243" s="31">
        <f>V243+365</f>
        <v>41116</v>
      </c>
      <c r="X243" s="12"/>
    </row>
    <row r="244" spans="1:24" x14ac:dyDescent="0.3">
      <c r="A244" s="657"/>
      <c r="B244" s="689"/>
      <c r="C244" s="666"/>
      <c r="D244" s="666"/>
      <c r="E244" s="666"/>
      <c r="F244" s="715"/>
      <c r="G244" s="666"/>
      <c r="H244" s="666"/>
      <c r="I244" s="25" t="s">
        <v>226</v>
      </c>
      <c r="J244" s="19"/>
      <c r="K244" s="19"/>
      <c r="L244" s="7"/>
      <c r="M244" s="9"/>
      <c r="N244" s="7"/>
      <c r="O244" s="13"/>
      <c r="P244" s="7"/>
      <c r="Q244" s="26" t="s">
        <v>226</v>
      </c>
      <c r="R244" s="27"/>
      <c r="S244" s="13"/>
      <c r="T244" s="7">
        <f>S245+7</f>
        <v>40581</v>
      </c>
      <c r="U244" s="4"/>
      <c r="V244" s="16">
        <v>41049</v>
      </c>
      <c r="W244" s="31">
        <f>V244+365</f>
        <v>41414</v>
      </c>
      <c r="X244" s="12"/>
    </row>
    <row r="245" spans="1:24" x14ac:dyDescent="0.3">
      <c r="A245" s="657"/>
      <c r="B245" s="689"/>
      <c r="C245" s="666"/>
      <c r="D245" s="666"/>
      <c r="E245" s="666"/>
      <c r="F245" s="715"/>
      <c r="G245" s="666"/>
      <c r="H245" s="666"/>
      <c r="I245" s="6" t="s">
        <v>44</v>
      </c>
      <c r="J245" s="19">
        <v>40494</v>
      </c>
      <c r="K245" s="19">
        <v>40510</v>
      </c>
      <c r="L245" s="11"/>
      <c r="M245" s="15">
        <v>40520</v>
      </c>
      <c r="N245" s="19">
        <v>40550</v>
      </c>
      <c r="O245" s="7">
        <v>40565</v>
      </c>
      <c r="P245" s="7">
        <v>40570</v>
      </c>
      <c r="Q245" s="23" t="s">
        <v>44</v>
      </c>
      <c r="R245" s="27">
        <f>804831.1/S2</f>
        <v>46388.227021481383</v>
      </c>
      <c r="S245" s="318">
        <v>40574</v>
      </c>
      <c r="T245" s="7"/>
      <c r="U245" s="11"/>
      <c r="V245" s="16"/>
      <c r="W245" s="31"/>
      <c r="X245" s="12"/>
    </row>
    <row r="246" spans="1:24" x14ac:dyDescent="0.3">
      <c r="A246" s="657"/>
      <c r="B246" s="689"/>
      <c r="C246" s="666"/>
      <c r="D246" s="666"/>
      <c r="E246" s="666"/>
      <c r="F246" s="715"/>
      <c r="G246" s="666"/>
      <c r="H246" s="666"/>
      <c r="I246" s="310"/>
      <c r="J246" s="311"/>
      <c r="K246" s="311"/>
      <c r="L246" s="312"/>
      <c r="M246" s="313"/>
      <c r="N246" s="311"/>
      <c r="O246" s="311"/>
      <c r="P246" s="311"/>
      <c r="Q246" s="310"/>
      <c r="R246" s="314"/>
      <c r="S246" s="315"/>
      <c r="T246" s="311"/>
      <c r="U246" s="315"/>
      <c r="V246" s="316"/>
      <c r="W246" s="316"/>
      <c r="X246" s="317"/>
    </row>
    <row r="247" spans="1:24" x14ac:dyDescent="0.3">
      <c r="A247" s="656" t="s">
        <v>261</v>
      </c>
      <c r="B247" s="688" t="s">
        <v>262</v>
      </c>
      <c r="C247" s="665"/>
      <c r="D247" s="665" t="s">
        <v>93</v>
      </c>
      <c r="E247" s="665" t="s">
        <v>40</v>
      </c>
      <c r="F247" s="714">
        <f>1560000*2/S2</f>
        <v>179828.12581052337</v>
      </c>
      <c r="G247" s="665" t="s">
        <v>94</v>
      </c>
      <c r="H247" s="665" t="s">
        <v>94</v>
      </c>
      <c r="I247" s="6" t="s">
        <v>43</v>
      </c>
      <c r="J247" s="19">
        <v>40471</v>
      </c>
      <c r="K247" s="19">
        <v>40487</v>
      </c>
      <c r="L247" s="7"/>
      <c r="M247" s="9">
        <v>40497</v>
      </c>
      <c r="N247" s="7">
        <v>40527</v>
      </c>
      <c r="O247" s="13">
        <v>40542</v>
      </c>
      <c r="P247" s="4">
        <f>O247+5</f>
        <v>40547</v>
      </c>
      <c r="Q247" s="23" t="s">
        <v>43</v>
      </c>
      <c r="R247" s="14"/>
      <c r="S247" s="13">
        <v>40563</v>
      </c>
      <c r="T247" s="7">
        <v>40570</v>
      </c>
      <c r="U247" s="4"/>
      <c r="V247" s="16">
        <v>40751</v>
      </c>
      <c r="W247" s="31">
        <f>V247+365</f>
        <v>41116</v>
      </c>
      <c r="X247" s="12"/>
    </row>
    <row r="248" spans="1:24" x14ac:dyDescent="0.3">
      <c r="A248" s="657"/>
      <c r="B248" s="689"/>
      <c r="C248" s="666"/>
      <c r="D248" s="666"/>
      <c r="E248" s="666"/>
      <c r="F248" s="715"/>
      <c r="G248" s="666"/>
      <c r="H248" s="666"/>
      <c r="I248" s="25" t="s">
        <v>226</v>
      </c>
      <c r="J248" s="19"/>
      <c r="K248" s="19"/>
      <c r="L248" s="7"/>
      <c r="M248" s="9"/>
      <c r="N248" s="7"/>
      <c r="O248" s="13"/>
      <c r="P248" s="7"/>
      <c r="Q248" s="26" t="s">
        <v>226</v>
      </c>
      <c r="R248" s="27"/>
      <c r="S248" s="13"/>
      <c r="T248" s="7"/>
      <c r="U248" s="4"/>
      <c r="V248" s="16">
        <v>41080</v>
      </c>
      <c r="W248" s="31">
        <f>V248+365</f>
        <v>41445</v>
      </c>
      <c r="X248" s="12"/>
    </row>
    <row r="249" spans="1:24" ht="13.5" customHeight="1" x14ac:dyDescent="0.3">
      <c r="A249" s="657"/>
      <c r="B249" s="689"/>
      <c r="C249" s="666"/>
      <c r="D249" s="666"/>
      <c r="E249" s="666"/>
      <c r="F249" s="715"/>
      <c r="G249" s="666"/>
      <c r="H249" s="666"/>
      <c r="I249" s="6" t="s">
        <v>44</v>
      </c>
      <c r="J249" s="19">
        <v>40413</v>
      </c>
      <c r="K249" s="19">
        <v>40429</v>
      </c>
      <c r="L249" s="11"/>
      <c r="M249" s="15">
        <v>40439</v>
      </c>
      <c r="N249" s="19">
        <v>40470</v>
      </c>
      <c r="O249" s="7">
        <v>40483</v>
      </c>
      <c r="P249" s="4">
        <v>40488</v>
      </c>
      <c r="Q249" s="23" t="s">
        <v>44</v>
      </c>
      <c r="R249" s="27">
        <f>1508059.28/S2</f>
        <v>86920.344209476709</v>
      </c>
      <c r="S249" s="7">
        <v>40504</v>
      </c>
      <c r="T249" s="318">
        <v>40524</v>
      </c>
      <c r="U249" s="11"/>
      <c r="V249" s="16"/>
      <c r="W249" s="31"/>
      <c r="X249" s="12"/>
    </row>
    <row r="250" spans="1:24" x14ac:dyDescent="0.3">
      <c r="A250" s="657"/>
      <c r="B250" s="689"/>
      <c r="C250" s="666"/>
      <c r="D250" s="666"/>
      <c r="E250" s="666"/>
      <c r="F250" s="715"/>
      <c r="G250" s="666"/>
      <c r="H250" s="666"/>
      <c r="I250" s="310"/>
      <c r="J250" s="311"/>
      <c r="K250" s="311"/>
      <c r="L250" s="312"/>
      <c r="M250" s="313"/>
      <c r="N250" s="311"/>
      <c r="O250" s="311"/>
      <c r="P250" s="311"/>
      <c r="Q250" s="310"/>
      <c r="R250" s="314"/>
      <c r="S250" s="315"/>
      <c r="T250" s="311"/>
      <c r="U250" s="315"/>
      <c r="V250" s="316"/>
      <c r="W250" s="316"/>
      <c r="X250" s="317"/>
    </row>
    <row r="251" spans="1:24" x14ac:dyDescent="0.3">
      <c r="A251" s="656" t="s">
        <v>263</v>
      </c>
      <c r="B251" s="688" t="s">
        <v>264</v>
      </c>
      <c r="C251" s="665"/>
      <c r="D251" s="665" t="s">
        <v>93</v>
      </c>
      <c r="E251" s="665" t="s">
        <v>40</v>
      </c>
      <c r="F251" s="714">
        <f>(1485000+760000)/S2</f>
        <v>129395.55847584135</v>
      </c>
      <c r="G251" s="665" t="s">
        <v>94</v>
      </c>
      <c r="H251" s="665" t="s">
        <v>94</v>
      </c>
      <c r="I251" s="6" t="s">
        <v>43</v>
      </c>
      <c r="J251" s="19">
        <v>40471</v>
      </c>
      <c r="K251" s="19">
        <v>40487</v>
      </c>
      <c r="L251" s="7"/>
      <c r="M251" s="9">
        <v>40497</v>
      </c>
      <c r="N251" s="7">
        <v>40527</v>
      </c>
      <c r="O251" s="13">
        <v>40542</v>
      </c>
      <c r="P251" s="4">
        <f>O251+5</f>
        <v>40547</v>
      </c>
      <c r="Q251" s="23" t="s">
        <v>43</v>
      </c>
      <c r="R251" s="14"/>
      <c r="S251" s="13">
        <v>40563</v>
      </c>
      <c r="T251" s="7">
        <v>40570</v>
      </c>
      <c r="U251" s="21"/>
      <c r="V251" s="16">
        <v>40751</v>
      </c>
      <c r="W251" s="31">
        <f>V251+365</f>
        <v>41116</v>
      </c>
      <c r="X251" s="12"/>
    </row>
    <row r="252" spans="1:24" x14ac:dyDescent="0.3">
      <c r="A252" s="657"/>
      <c r="B252" s="689"/>
      <c r="C252" s="666"/>
      <c r="D252" s="666"/>
      <c r="E252" s="666"/>
      <c r="F252" s="715"/>
      <c r="G252" s="666"/>
      <c r="H252" s="666"/>
      <c r="I252" s="25" t="s">
        <v>226</v>
      </c>
      <c r="J252" s="19"/>
      <c r="K252" s="19"/>
      <c r="L252" s="7"/>
      <c r="M252" s="9"/>
      <c r="N252" s="7"/>
      <c r="O252" s="13"/>
      <c r="P252" s="7"/>
      <c r="Q252" s="26" t="s">
        <v>226</v>
      </c>
      <c r="R252" s="27"/>
      <c r="S252" s="13"/>
      <c r="T252" s="7"/>
      <c r="U252" s="21"/>
      <c r="V252" s="16">
        <v>41049</v>
      </c>
      <c r="W252" s="31">
        <f>V252+365</f>
        <v>41414</v>
      </c>
      <c r="X252" s="12"/>
    </row>
    <row r="253" spans="1:24" x14ac:dyDescent="0.3">
      <c r="A253" s="657"/>
      <c r="B253" s="689"/>
      <c r="C253" s="666"/>
      <c r="D253" s="666"/>
      <c r="E253" s="666"/>
      <c r="F253" s="715"/>
      <c r="G253" s="666"/>
      <c r="H253" s="666"/>
      <c r="I253" s="6" t="s">
        <v>44</v>
      </c>
      <c r="J253" s="19">
        <v>40413</v>
      </c>
      <c r="K253" s="19">
        <v>40429</v>
      </c>
      <c r="L253" s="11"/>
      <c r="M253" s="15">
        <v>40439</v>
      </c>
      <c r="N253" s="19">
        <v>40470</v>
      </c>
      <c r="O253" s="7">
        <v>40483</v>
      </c>
      <c r="P253" s="4">
        <v>40488</v>
      </c>
      <c r="Q253" s="23" t="s">
        <v>44</v>
      </c>
      <c r="R253" s="27">
        <f>1428069.74/S2</f>
        <v>82309.969509910705</v>
      </c>
      <c r="S253" s="7">
        <v>40504</v>
      </c>
      <c r="T253" s="318">
        <v>40524</v>
      </c>
      <c r="U253" s="21"/>
      <c r="V253" s="16"/>
      <c r="W253" s="31"/>
      <c r="X253" s="12"/>
    </row>
    <row r="254" spans="1:24" x14ac:dyDescent="0.3">
      <c r="A254" s="657"/>
      <c r="B254" s="689"/>
      <c r="C254" s="666"/>
      <c r="D254" s="666"/>
      <c r="E254" s="666"/>
      <c r="F254" s="715"/>
      <c r="G254" s="666"/>
      <c r="H254" s="666"/>
      <c r="I254" s="310"/>
      <c r="J254" s="311"/>
      <c r="K254" s="311"/>
      <c r="L254" s="312"/>
      <c r="M254" s="313"/>
      <c r="N254" s="311"/>
      <c r="O254" s="311"/>
      <c r="P254" s="311"/>
      <c r="Q254" s="310"/>
      <c r="R254" s="314"/>
      <c r="S254" s="315"/>
      <c r="T254" s="311"/>
      <c r="U254" s="315"/>
      <c r="V254" s="316"/>
      <c r="W254" s="316"/>
      <c r="X254" s="317"/>
    </row>
    <row r="255" spans="1:24" x14ac:dyDescent="0.3">
      <c r="A255" s="656" t="s">
        <v>265</v>
      </c>
      <c r="B255" s="688" t="s">
        <v>266</v>
      </c>
      <c r="C255" s="665"/>
      <c r="D255" s="665" t="s">
        <v>93</v>
      </c>
      <c r="E255" s="665" t="s">
        <v>40</v>
      </c>
      <c r="F255" s="714">
        <f>1485000/S2</f>
        <v>85591.271419431811</v>
      </c>
      <c r="G255" s="665" t="s">
        <v>94</v>
      </c>
      <c r="H255" s="665" t="s">
        <v>94</v>
      </c>
      <c r="I255" s="6" t="s">
        <v>43</v>
      </c>
      <c r="J255" s="19">
        <v>40471</v>
      </c>
      <c r="K255" s="19">
        <v>40487</v>
      </c>
      <c r="L255" s="7"/>
      <c r="M255" s="9">
        <v>40497</v>
      </c>
      <c r="N255" s="7">
        <v>40527</v>
      </c>
      <c r="O255" s="13">
        <v>40542</v>
      </c>
      <c r="P255" s="4">
        <f>O255+5</f>
        <v>40547</v>
      </c>
      <c r="Q255" s="23" t="s">
        <v>43</v>
      </c>
      <c r="R255" s="14"/>
      <c r="S255" s="13">
        <v>40622</v>
      </c>
      <c r="T255" s="7">
        <v>40629</v>
      </c>
      <c r="U255" s="21"/>
      <c r="V255" s="16">
        <f>T255+195</f>
        <v>40824</v>
      </c>
      <c r="W255" s="16">
        <f>V255+365</f>
        <v>41189</v>
      </c>
      <c r="X255" s="12"/>
    </row>
    <row r="256" spans="1:24" x14ac:dyDescent="0.3">
      <c r="A256" s="657"/>
      <c r="B256" s="689"/>
      <c r="C256" s="666"/>
      <c r="D256" s="666"/>
      <c r="E256" s="666"/>
      <c r="F256" s="715"/>
      <c r="G256" s="666"/>
      <c r="H256" s="666"/>
      <c r="I256" s="25" t="s">
        <v>226</v>
      </c>
      <c r="J256" s="19"/>
      <c r="K256" s="19"/>
      <c r="L256" s="7"/>
      <c r="M256" s="9"/>
      <c r="N256" s="7"/>
      <c r="O256" s="13"/>
      <c r="P256" s="7"/>
      <c r="Q256" s="26" t="s">
        <v>226</v>
      </c>
      <c r="R256" s="27"/>
      <c r="S256" s="13"/>
      <c r="T256" s="7"/>
      <c r="U256" s="21"/>
      <c r="V256" s="16">
        <v>41090</v>
      </c>
      <c r="W256" s="16">
        <f>V256+365</f>
        <v>41455</v>
      </c>
      <c r="X256" s="12"/>
    </row>
    <row r="257" spans="1:24" x14ac:dyDescent="0.3">
      <c r="A257" s="657"/>
      <c r="B257" s="689"/>
      <c r="C257" s="666"/>
      <c r="D257" s="666"/>
      <c r="E257" s="666"/>
      <c r="F257" s="715"/>
      <c r="G257" s="666"/>
      <c r="H257" s="666"/>
      <c r="I257" s="28" t="s">
        <v>44</v>
      </c>
      <c r="J257" s="19">
        <v>40471</v>
      </c>
      <c r="K257" s="19">
        <v>40487</v>
      </c>
      <c r="L257" s="7"/>
      <c r="M257" s="9">
        <v>40497</v>
      </c>
      <c r="N257" s="7">
        <v>40527</v>
      </c>
      <c r="O257" s="13">
        <v>40542</v>
      </c>
      <c r="P257" s="4">
        <f>O257+5</f>
        <v>40547</v>
      </c>
      <c r="Q257" s="23" t="s">
        <v>44</v>
      </c>
      <c r="R257" s="34">
        <f>3743875/S2</f>
        <v>215786.54632015168</v>
      </c>
      <c r="S257" s="318">
        <v>40490</v>
      </c>
      <c r="T257" s="7">
        <v>40494</v>
      </c>
      <c r="U257" s="21"/>
      <c r="V257" s="16"/>
      <c r="W257" s="16"/>
      <c r="X257" s="12"/>
    </row>
    <row r="258" spans="1:24" x14ac:dyDescent="0.3">
      <c r="A258" s="657"/>
      <c r="B258" s="689"/>
      <c r="C258" s="666"/>
      <c r="D258" s="666"/>
      <c r="E258" s="666"/>
      <c r="F258" s="715"/>
      <c r="G258" s="666"/>
      <c r="H258" s="666"/>
      <c r="I258" s="310"/>
      <c r="J258" s="311"/>
      <c r="K258" s="311"/>
      <c r="L258" s="312"/>
      <c r="M258" s="313"/>
      <c r="N258" s="311"/>
      <c r="O258" s="311"/>
      <c r="P258" s="311"/>
      <c r="Q258" s="310"/>
      <c r="R258" s="314"/>
      <c r="S258" s="315"/>
      <c r="T258" s="311"/>
      <c r="U258" s="315"/>
      <c r="V258" s="316"/>
      <c r="W258" s="316"/>
      <c r="X258" s="317"/>
    </row>
    <row r="259" spans="1:24" x14ac:dyDescent="0.3">
      <c r="A259" s="656" t="s">
        <v>267</v>
      </c>
      <c r="B259" s="688" t="s">
        <v>268</v>
      </c>
      <c r="C259" s="665"/>
      <c r="D259" s="665" t="s">
        <v>93</v>
      </c>
      <c r="E259" s="665" t="s">
        <v>40</v>
      </c>
      <c r="F259" s="714">
        <f>1485000/S2</f>
        <v>85591.271419431811</v>
      </c>
      <c r="G259" s="665" t="s">
        <v>94</v>
      </c>
      <c r="H259" s="665" t="s">
        <v>94</v>
      </c>
      <c r="I259" s="6" t="s">
        <v>43</v>
      </c>
      <c r="J259" s="19">
        <v>40471</v>
      </c>
      <c r="K259" s="19">
        <v>40487</v>
      </c>
      <c r="L259" s="7"/>
      <c r="M259" s="9">
        <v>40497</v>
      </c>
      <c r="N259" s="7">
        <v>40527</v>
      </c>
      <c r="O259" s="13">
        <v>40542</v>
      </c>
      <c r="P259" s="4">
        <f>O259+5</f>
        <v>40547</v>
      </c>
      <c r="Q259" s="23" t="s">
        <v>43</v>
      </c>
      <c r="R259" s="14"/>
      <c r="S259" s="13">
        <v>40622</v>
      </c>
      <c r="T259" s="7">
        <v>40629</v>
      </c>
      <c r="U259" s="21"/>
      <c r="V259" s="4">
        <f>T261+195</f>
        <v>40689</v>
      </c>
      <c r="W259" s="4">
        <f>V259+365</f>
        <v>41054</v>
      </c>
      <c r="X259" s="12"/>
    </row>
    <row r="260" spans="1:24" x14ac:dyDescent="0.3">
      <c r="A260" s="657"/>
      <c r="B260" s="689"/>
      <c r="C260" s="666"/>
      <c r="D260" s="666"/>
      <c r="E260" s="666"/>
      <c r="F260" s="715"/>
      <c r="G260" s="666"/>
      <c r="H260" s="666"/>
      <c r="I260" s="25" t="s">
        <v>226</v>
      </c>
      <c r="J260" s="19"/>
      <c r="K260" s="19"/>
      <c r="L260" s="7"/>
      <c r="M260" s="9"/>
      <c r="N260" s="7"/>
      <c r="O260" s="13"/>
      <c r="P260" s="7"/>
      <c r="Q260" s="26" t="s">
        <v>226</v>
      </c>
      <c r="R260" s="27"/>
      <c r="S260" s="13"/>
      <c r="T260" s="7"/>
      <c r="U260" s="21"/>
      <c r="V260" s="4">
        <v>41085</v>
      </c>
      <c r="W260" s="4">
        <f>V260+365</f>
        <v>41450</v>
      </c>
      <c r="X260" s="12"/>
    </row>
    <row r="261" spans="1:24" x14ac:dyDescent="0.3">
      <c r="A261" s="657"/>
      <c r="B261" s="689"/>
      <c r="C261" s="666"/>
      <c r="D261" s="666"/>
      <c r="E261" s="666"/>
      <c r="F261" s="715"/>
      <c r="G261" s="666"/>
      <c r="H261" s="666"/>
      <c r="I261" s="6" t="s">
        <v>44</v>
      </c>
      <c r="J261" s="19">
        <v>40412</v>
      </c>
      <c r="K261" s="19">
        <v>40428</v>
      </c>
      <c r="L261" s="11"/>
      <c r="M261" s="15">
        <v>40438</v>
      </c>
      <c r="N261" s="19">
        <v>40468</v>
      </c>
      <c r="O261" s="7">
        <v>40483</v>
      </c>
      <c r="P261" s="4">
        <v>40488</v>
      </c>
      <c r="Q261" s="23" t="s">
        <v>44</v>
      </c>
      <c r="R261" s="27">
        <f>1648103.98/S2</f>
        <v>94992.13136675139</v>
      </c>
      <c r="S261" s="318">
        <v>40490</v>
      </c>
      <c r="T261" s="7">
        <v>40494</v>
      </c>
      <c r="U261" s="21"/>
      <c r="V261" s="4"/>
      <c r="W261" s="4"/>
      <c r="X261" s="12"/>
    </row>
    <row r="262" spans="1:24" x14ac:dyDescent="0.3">
      <c r="A262" s="657"/>
      <c r="B262" s="689"/>
      <c r="C262" s="666"/>
      <c r="D262" s="666"/>
      <c r="E262" s="666"/>
      <c r="F262" s="715"/>
      <c r="G262" s="666"/>
      <c r="H262" s="666"/>
      <c r="I262" s="310"/>
      <c r="J262" s="311"/>
      <c r="K262" s="311"/>
      <c r="L262" s="312"/>
      <c r="M262" s="313"/>
      <c r="N262" s="311"/>
      <c r="O262" s="311"/>
      <c r="P262" s="311"/>
      <c r="Q262" s="310"/>
      <c r="R262" s="314"/>
      <c r="S262" s="315"/>
      <c r="T262" s="311"/>
      <c r="U262" s="315"/>
      <c r="V262" s="316"/>
      <c r="W262" s="316"/>
      <c r="X262" s="317"/>
    </row>
    <row r="263" spans="1:24" x14ac:dyDescent="0.3">
      <c r="A263" s="656" t="s">
        <v>269</v>
      </c>
      <c r="B263" s="688" t="s">
        <v>270</v>
      </c>
      <c r="C263" s="665"/>
      <c r="D263" s="665" t="s">
        <v>93</v>
      </c>
      <c r="E263" s="665" t="s">
        <v>40</v>
      </c>
      <c r="F263" s="714">
        <f>1485000/S2</f>
        <v>85591.271419431811</v>
      </c>
      <c r="G263" s="665" t="s">
        <v>94</v>
      </c>
      <c r="H263" s="665" t="s">
        <v>94</v>
      </c>
      <c r="I263" s="6" t="s">
        <v>43</v>
      </c>
      <c r="J263" s="19">
        <v>40471</v>
      </c>
      <c r="K263" s="19">
        <v>40487</v>
      </c>
      <c r="L263" s="7"/>
      <c r="M263" s="9">
        <v>40497</v>
      </c>
      <c r="N263" s="7">
        <v>40527</v>
      </c>
      <c r="O263" s="13">
        <v>40542</v>
      </c>
      <c r="P263" s="4">
        <f>O263+5</f>
        <v>40547</v>
      </c>
      <c r="Q263" s="23" t="s">
        <v>43</v>
      </c>
      <c r="R263" s="14"/>
      <c r="S263" s="13">
        <v>40622</v>
      </c>
      <c r="T263" s="7">
        <v>40629</v>
      </c>
      <c r="U263" s="21"/>
      <c r="V263" s="4">
        <v>40843</v>
      </c>
      <c r="W263" s="4">
        <f>V263+365</f>
        <v>41208</v>
      </c>
      <c r="X263" s="12"/>
    </row>
    <row r="264" spans="1:24" x14ac:dyDescent="0.3">
      <c r="A264" s="657"/>
      <c r="B264" s="689"/>
      <c r="C264" s="666"/>
      <c r="D264" s="666"/>
      <c r="E264" s="666"/>
      <c r="F264" s="715"/>
      <c r="G264" s="666"/>
      <c r="H264" s="666"/>
      <c r="I264" s="25" t="s">
        <v>226</v>
      </c>
      <c r="J264" s="19"/>
      <c r="K264" s="19"/>
      <c r="L264" s="7"/>
      <c r="M264" s="9"/>
      <c r="N264" s="7"/>
      <c r="O264" s="13"/>
      <c r="P264" s="7"/>
      <c r="Q264" s="26" t="s">
        <v>226</v>
      </c>
      <c r="R264" s="27"/>
      <c r="S264" s="13"/>
      <c r="T264" s="7"/>
      <c r="U264" s="21"/>
      <c r="V264" s="4">
        <v>41029</v>
      </c>
      <c r="W264" s="4">
        <f>V264+365</f>
        <v>41394</v>
      </c>
      <c r="X264" s="12"/>
    </row>
    <row r="265" spans="1:24" x14ac:dyDescent="0.3">
      <c r="A265" s="657"/>
      <c r="B265" s="689"/>
      <c r="C265" s="666"/>
      <c r="D265" s="666"/>
      <c r="E265" s="666"/>
      <c r="F265" s="715"/>
      <c r="G265" s="666"/>
      <c r="H265" s="666"/>
      <c r="I265" s="6" t="s">
        <v>44</v>
      </c>
      <c r="J265" s="19">
        <v>40412</v>
      </c>
      <c r="K265" s="19">
        <v>40428</v>
      </c>
      <c r="L265" s="11"/>
      <c r="M265" s="15">
        <v>40438</v>
      </c>
      <c r="N265" s="19">
        <v>40468</v>
      </c>
      <c r="O265" s="7">
        <v>40483</v>
      </c>
      <c r="P265" s="4">
        <v>40488</v>
      </c>
      <c r="Q265" s="23" t="s">
        <v>44</v>
      </c>
      <c r="R265" s="27">
        <f>1304286.88/S2</f>
        <v>75175.46959924839</v>
      </c>
      <c r="S265" s="318">
        <v>40490</v>
      </c>
      <c r="T265" s="7">
        <v>40494</v>
      </c>
      <c r="U265" s="21"/>
      <c r="V265" s="4"/>
      <c r="W265" s="4"/>
      <c r="X265" s="12"/>
    </row>
    <row r="266" spans="1:24" x14ac:dyDescent="0.3">
      <c r="A266" s="657"/>
      <c r="B266" s="689"/>
      <c r="C266" s="666"/>
      <c r="D266" s="666"/>
      <c r="E266" s="666"/>
      <c r="F266" s="715"/>
      <c r="G266" s="666"/>
      <c r="H266" s="666"/>
      <c r="I266" s="310"/>
      <c r="J266" s="311"/>
      <c r="K266" s="311"/>
      <c r="L266" s="312"/>
      <c r="M266" s="313"/>
      <c r="N266" s="311"/>
      <c r="O266" s="311"/>
      <c r="P266" s="311"/>
      <c r="Q266" s="310"/>
      <c r="R266" s="314"/>
      <c r="S266" s="315"/>
      <c r="T266" s="311"/>
      <c r="U266" s="315"/>
      <c r="V266" s="316"/>
      <c r="W266" s="316"/>
      <c r="X266" s="317"/>
    </row>
    <row r="267" spans="1:24" x14ac:dyDescent="0.3">
      <c r="A267" s="656" t="s">
        <v>271</v>
      </c>
      <c r="B267" s="688" t="s">
        <v>272</v>
      </c>
      <c r="C267" s="665"/>
      <c r="D267" s="665" t="s">
        <v>93</v>
      </c>
      <c r="E267" s="665" t="s">
        <v>40</v>
      </c>
      <c r="F267" s="714">
        <f>1485000/S2</f>
        <v>85591.271419431811</v>
      </c>
      <c r="G267" s="665" t="s">
        <v>94</v>
      </c>
      <c r="H267" s="665" t="s">
        <v>94</v>
      </c>
      <c r="I267" s="6" t="s">
        <v>43</v>
      </c>
      <c r="J267" s="19">
        <v>40410</v>
      </c>
      <c r="K267" s="19">
        <v>40426</v>
      </c>
      <c r="L267" s="7"/>
      <c r="M267" s="9">
        <v>40436</v>
      </c>
      <c r="N267" s="7">
        <v>40466</v>
      </c>
      <c r="O267" s="13">
        <v>40481</v>
      </c>
      <c r="P267" s="4">
        <f>O267+5</f>
        <v>40486</v>
      </c>
      <c r="Q267" s="23" t="s">
        <v>43</v>
      </c>
      <c r="R267" s="14"/>
      <c r="S267" s="13">
        <v>40502</v>
      </c>
      <c r="T267" s="7">
        <v>40509</v>
      </c>
      <c r="U267" s="21"/>
      <c r="V267" s="4">
        <f>T273+195</f>
        <v>40689</v>
      </c>
      <c r="W267" s="4">
        <f>V267+365</f>
        <v>41054</v>
      </c>
      <c r="X267" s="12"/>
    </row>
    <row r="268" spans="1:24" x14ac:dyDescent="0.3">
      <c r="A268" s="657"/>
      <c r="B268" s="689"/>
      <c r="C268" s="666"/>
      <c r="D268" s="666"/>
      <c r="E268" s="666"/>
      <c r="F268" s="715"/>
      <c r="G268" s="666"/>
      <c r="H268" s="666"/>
      <c r="I268" s="25" t="s">
        <v>226</v>
      </c>
      <c r="J268" s="19"/>
      <c r="K268" s="19"/>
      <c r="L268" s="7"/>
      <c r="M268" s="9"/>
      <c r="N268" s="7"/>
      <c r="O268" s="13"/>
      <c r="P268" s="7"/>
      <c r="Q268" s="26" t="s">
        <v>226</v>
      </c>
      <c r="R268" s="27"/>
      <c r="S268" s="13"/>
      <c r="T268" s="7"/>
      <c r="U268" s="21"/>
      <c r="V268" s="4">
        <v>41080</v>
      </c>
      <c r="W268" s="4">
        <f>V268+365</f>
        <v>41445</v>
      </c>
      <c r="X268" s="12"/>
    </row>
    <row r="269" spans="1:24" x14ac:dyDescent="0.3">
      <c r="A269" s="657"/>
      <c r="B269" s="689"/>
      <c r="C269" s="666"/>
      <c r="D269" s="666"/>
      <c r="E269" s="666"/>
      <c r="F269" s="715"/>
      <c r="G269" s="666"/>
      <c r="H269" s="666"/>
      <c r="I269" s="6" t="s">
        <v>44</v>
      </c>
      <c r="J269" s="19">
        <v>40570</v>
      </c>
      <c r="K269" s="19">
        <v>40586</v>
      </c>
      <c r="L269" s="11"/>
      <c r="M269" s="15">
        <v>40596</v>
      </c>
      <c r="N269" s="19">
        <v>40623</v>
      </c>
      <c r="O269" s="7">
        <v>40673</v>
      </c>
      <c r="P269" s="4"/>
      <c r="Q269" s="23" t="s">
        <v>44</v>
      </c>
      <c r="R269" s="27">
        <f>1014103.98/S2</f>
        <v>58450.134006536056</v>
      </c>
      <c r="S269" s="318">
        <v>40490</v>
      </c>
      <c r="T269" s="7">
        <v>40494</v>
      </c>
      <c r="U269" s="21"/>
      <c r="V269" s="4"/>
      <c r="W269" s="4"/>
      <c r="X269" s="12"/>
    </row>
    <row r="270" spans="1:24" x14ac:dyDescent="0.3">
      <c r="A270" s="657"/>
      <c r="B270" s="689"/>
      <c r="C270" s="666"/>
      <c r="D270" s="666"/>
      <c r="E270" s="666"/>
      <c r="F270" s="715"/>
      <c r="G270" s="666"/>
      <c r="H270" s="666"/>
      <c r="I270" s="310"/>
      <c r="J270" s="311"/>
      <c r="K270" s="311"/>
      <c r="L270" s="312"/>
      <c r="M270" s="313"/>
      <c r="N270" s="311"/>
      <c r="O270" s="311"/>
      <c r="P270" s="311"/>
      <c r="Q270" s="310"/>
      <c r="R270" s="314"/>
      <c r="S270" s="315"/>
      <c r="T270" s="311"/>
      <c r="U270" s="315"/>
      <c r="V270" s="316"/>
      <c r="W270" s="316"/>
      <c r="X270" s="317"/>
    </row>
    <row r="271" spans="1:24" x14ac:dyDescent="0.3">
      <c r="A271" s="656" t="s">
        <v>273</v>
      </c>
      <c r="B271" s="688" t="s">
        <v>274</v>
      </c>
      <c r="C271" s="665"/>
      <c r="D271" s="665" t="s">
        <v>93</v>
      </c>
      <c r="E271" s="665" t="s">
        <v>40</v>
      </c>
      <c r="F271" s="714">
        <f>1485000/S2</f>
        <v>85591.271419431811</v>
      </c>
      <c r="G271" s="665" t="s">
        <v>94</v>
      </c>
      <c r="H271" s="665" t="s">
        <v>94</v>
      </c>
      <c r="I271" s="6" t="s">
        <v>43</v>
      </c>
      <c r="J271" s="19">
        <v>40532</v>
      </c>
      <c r="K271" s="19">
        <v>40548</v>
      </c>
      <c r="L271" s="7"/>
      <c r="M271" s="9">
        <v>40558</v>
      </c>
      <c r="N271" s="7">
        <v>40589</v>
      </c>
      <c r="O271" s="13">
        <v>40604</v>
      </c>
      <c r="P271" s="4">
        <f>O271+5</f>
        <v>40609</v>
      </c>
      <c r="Q271" s="23" t="s">
        <v>43</v>
      </c>
      <c r="R271" s="14"/>
      <c r="S271" s="13">
        <v>40622</v>
      </c>
      <c r="T271" s="7">
        <v>40629</v>
      </c>
      <c r="U271" s="21"/>
      <c r="V271" s="4">
        <f>T271+195</f>
        <v>40824</v>
      </c>
      <c r="W271" s="4">
        <f>V271+365</f>
        <v>41189</v>
      </c>
      <c r="X271" s="12"/>
    </row>
    <row r="272" spans="1:24" x14ac:dyDescent="0.3">
      <c r="A272" s="657"/>
      <c r="B272" s="689"/>
      <c r="C272" s="666"/>
      <c r="D272" s="666"/>
      <c r="E272" s="666"/>
      <c r="F272" s="715"/>
      <c r="G272" s="666"/>
      <c r="H272" s="666"/>
      <c r="I272" s="25" t="s">
        <v>226</v>
      </c>
      <c r="J272" s="19"/>
      <c r="K272" s="19"/>
      <c r="L272" s="7"/>
      <c r="M272" s="9"/>
      <c r="N272" s="7"/>
      <c r="O272" s="13"/>
      <c r="P272" s="7"/>
      <c r="Q272" s="26" t="s">
        <v>226</v>
      </c>
      <c r="R272" s="30"/>
      <c r="S272" s="13"/>
      <c r="T272" s="7"/>
      <c r="U272" s="21"/>
      <c r="V272" s="4">
        <v>41085</v>
      </c>
      <c r="W272" s="4">
        <f>V272+365</f>
        <v>41450</v>
      </c>
      <c r="X272" s="12"/>
    </row>
    <row r="273" spans="1:24" x14ac:dyDescent="0.3">
      <c r="A273" s="657"/>
      <c r="B273" s="689"/>
      <c r="C273" s="666"/>
      <c r="D273" s="666"/>
      <c r="E273" s="666"/>
      <c r="F273" s="715"/>
      <c r="G273" s="666"/>
      <c r="H273" s="666"/>
      <c r="I273" s="6" t="s">
        <v>44</v>
      </c>
      <c r="J273" s="19">
        <v>40570</v>
      </c>
      <c r="K273" s="19">
        <v>40586</v>
      </c>
      <c r="L273" s="11"/>
      <c r="M273" s="15">
        <v>40596</v>
      </c>
      <c r="N273" s="19">
        <v>40623</v>
      </c>
      <c r="O273" s="7">
        <v>40673</v>
      </c>
      <c r="P273" s="4"/>
      <c r="Q273" s="23" t="s">
        <v>44</v>
      </c>
      <c r="R273" s="27">
        <f>1370266.5/S2</f>
        <v>78978.351460238962</v>
      </c>
      <c r="S273" s="13">
        <v>40716</v>
      </c>
      <c r="T273" s="7">
        <v>40494</v>
      </c>
      <c r="U273" s="21"/>
      <c r="V273" s="21"/>
      <c r="W273" s="21"/>
      <c r="X273" s="12"/>
    </row>
    <row r="274" spans="1:24" x14ac:dyDescent="0.3">
      <c r="A274" s="657"/>
      <c r="B274" s="689"/>
      <c r="C274" s="666"/>
      <c r="D274" s="666"/>
      <c r="E274" s="666"/>
      <c r="F274" s="715"/>
      <c r="G274" s="666"/>
      <c r="H274" s="666"/>
      <c r="I274" s="310"/>
      <c r="J274" s="311"/>
      <c r="K274" s="311"/>
      <c r="L274" s="312"/>
      <c r="M274" s="313"/>
      <c r="N274" s="311"/>
      <c r="O274" s="311"/>
      <c r="P274" s="311"/>
      <c r="Q274" s="310"/>
      <c r="R274" s="314"/>
      <c r="S274" s="315"/>
      <c r="T274" s="311"/>
      <c r="U274" s="315"/>
      <c r="V274" s="316"/>
      <c r="W274" s="316"/>
      <c r="X274" s="317"/>
    </row>
    <row r="275" spans="1:24" x14ac:dyDescent="0.3">
      <c r="A275" s="656" t="s">
        <v>275</v>
      </c>
      <c r="B275" s="688" t="s">
        <v>276</v>
      </c>
      <c r="C275" s="665"/>
      <c r="D275" s="665" t="s">
        <v>93</v>
      </c>
      <c r="E275" s="665" t="s">
        <v>40</v>
      </c>
      <c r="F275" s="714">
        <f>1485000/S2</f>
        <v>85591.271419431811</v>
      </c>
      <c r="G275" s="665" t="s">
        <v>94</v>
      </c>
      <c r="H275" s="665" t="s">
        <v>94</v>
      </c>
      <c r="I275" s="6" t="s">
        <v>43</v>
      </c>
      <c r="J275" s="19">
        <v>40532</v>
      </c>
      <c r="K275" s="19">
        <v>40548</v>
      </c>
      <c r="L275" s="7"/>
      <c r="M275" s="9">
        <v>40558</v>
      </c>
      <c r="N275" s="7">
        <v>40589</v>
      </c>
      <c r="O275" s="13">
        <v>40604</v>
      </c>
      <c r="P275" s="4">
        <f>O275+5</f>
        <v>40609</v>
      </c>
      <c r="Q275" s="23" t="s">
        <v>43</v>
      </c>
      <c r="R275" s="14"/>
      <c r="S275" s="13">
        <v>40622</v>
      </c>
      <c r="T275" s="7">
        <v>40629</v>
      </c>
      <c r="U275" s="21"/>
      <c r="V275" s="4">
        <f>T275+195</f>
        <v>40824</v>
      </c>
      <c r="W275" s="4">
        <f>V275+365</f>
        <v>41189</v>
      </c>
      <c r="X275" s="12"/>
    </row>
    <row r="276" spans="1:24" x14ac:dyDescent="0.3">
      <c r="A276" s="657"/>
      <c r="B276" s="689"/>
      <c r="C276" s="666"/>
      <c r="D276" s="666"/>
      <c r="E276" s="666"/>
      <c r="F276" s="715"/>
      <c r="G276" s="666"/>
      <c r="H276" s="666"/>
      <c r="I276" s="25" t="s">
        <v>226</v>
      </c>
      <c r="J276" s="19"/>
      <c r="K276" s="19"/>
      <c r="L276" s="7"/>
      <c r="M276" s="9"/>
      <c r="N276" s="7"/>
      <c r="O276" s="13"/>
      <c r="P276" s="7"/>
      <c r="Q276" s="26" t="s">
        <v>226</v>
      </c>
      <c r="R276" s="27"/>
      <c r="S276" s="13"/>
      <c r="T276" s="7"/>
      <c r="U276" s="21"/>
      <c r="V276" s="4">
        <v>41080</v>
      </c>
      <c r="W276" s="4">
        <f>V276+365</f>
        <v>41445</v>
      </c>
      <c r="X276" s="12"/>
    </row>
    <row r="277" spans="1:24" x14ac:dyDescent="0.3">
      <c r="A277" s="657"/>
      <c r="B277" s="689"/>
      <c r="C277" s="666"/>
      <c r="D277" s="666"/>
      <c r="E277" s="666"/>
      <c r="F277" s="715"/>
      <c r="G277" s="666"/>
      <c r="H277" s="666"/>
      <c r="I277" s="6" t="s">
        <v>44</v>
      </c>
      <c r="J277" s="19">
        <v>40570</v>
      </c>
      <c r="K277" s="19">
        <v>40586</v>
      </c>
      <c r="L277" s="11"/>
      <c r="M277" s="15">
        <v>40596</v>
      </c>
      <c r="N277" s="19">
        <v>40623</v>
      </c>
      <c r="O277" s="7">
        <v>40673</v>
      </c>
      <c r="P277" s="4"/>
      <c r="Q277" s="23" t="s">
        <v>44</v>
      </c>
      <c r="R277" s="27">
        <f>654555.59/S2</f>
        <v>37726.76441939146</v>
      </c>
      <c r="S277" s="13">
        <v>40765</v>
      </c>
      <c r="T277" s="319">
        <v>40765</v>
      </c>
      <c r="U277" s="21"/>
      <c r="V277" s="4"/>
      <c r="W277" s="21"/>
      <c r="X277" s="12"/>
    </row>
    <row r="278" spans="1:24" x14ac:dyDescent="0.3">
      <c r="A278" s="657"/>
      <c r="B278" s="689"/>
      <c r="C278" s="666"/>
      <c r="D278" s="666"/>
      <c r="E278" s="666"/>
      <c r="F278" s="715"/>
      <c r="G278" s="666"/>
      <c r="H278" s="666"/>
      <c r="I278" s="310"/>
      <c r="J278" s="311"/>
      <c r="K278" s="311"/>
      <c r="L278" s="312"/>
      <c r="M278" s="313"/>
      <c r="N278" s="311"/>
      <c r="O278" s="311"/>
      <c r="P278" s="311"/>
      <c r="Q278" s="310"/>
      <c r="R278" s="314"/>
      <c r="S278" s="315"/>
      <c r="T278" s="311"/>
      <c r="U278" s="315"/>
      <c r="V278" s="316"/>
      <c r="W278" s="316"/>
      <c r="X278" s="317"/>
    </row>
    <row r="279" spans="1:24" x14ac:dyDescent="0.3">
      <c r="A279" s="656" t="s">
        <v>277</v>
      </c>
      <c r="B279" s="688" t="s">
        <v>278</v>
      </c>
      <c r="C279" s="665"/>
      <c r="D279" s="665" t="s">
        <v>93</v>
      </c>
      <c r="E279" s="665" t="s">
        <v>40</v>
      </c>
      <c r="F279" s="714">
        <f>1485000/S2</f>
        <v>85591.271419431811</v>
      </c>
      <c r="G279" s="665" t="s">
        <v>94</v>
      </c>
      <c r="H279" s="665" t="s">
        <v>94</v>
      </c>
      <c r="I279" s="6" t="s">
        <v>43</v>
      </c>
      <c r="J279" s="19">
        <v>40532</v>
      </c>
      <c r="K279" s="19">
        <v>40548</v>
      </c>
      <c r="L279" s="7"/>
      <c r="M279" s="9">
        <v>40558</v>
      </c>
      <c r="N279" s="7">
        <v>40589</v>
      </c>
      <c r="O279" s="13">
        <v>40604</v>
      </c>
      <c r="P279" s="4">
        <f>O279+5</f>
        <v>40609</v>
      </c>
      <c r="Q279" s="23" t="s">
        <v>43</v>
      </c>
      <c r="R279" s="14"/>
      <c r="S279" s="13">
        <v>40622</v>
      </c>
      <c r="T279" s="7">
        <v>40629</v>
      </c>
      <c r="U279" s="21"/>
      <c r="V279" s="4">
        <f>T281+195</f>
        <v>40910</v>
      </c>
      <c r="W279" s="4">
        <f>V279+365</f>
        <v>41275</v>
      </c>
      <c r="X279" s="12"/>
    </row>
    <row r="280" spans="1:24" x14ac:dyDescent="0.3">
      <c r="A280" s="657"/>
      <c r="B280" s="689"/>
      <c r="C280" s="666"/>
      <c r="D280" s="666"/>
      <c r="E280" s="666"/>
      <c r="F280" s="715"/>
      <c r="G280" s="666"/>
      <c r="H280" s="666"/>
      <c r="I280" s="25" t="s">
        <v>226</v>
      </c>
      <c r="J280" s="19"/>
      <c r="K280" s="19"/>
      <c r="L280" s="7"/>
      <c r="M280" s="9"/>
      <c r="N280" s="7"/>
      <c r="O280" s="13"/>
      <c r="P280" s="7"/>
      <c r="Q280" s="26" t="s">
        <v>226</v>
      </c>
      <c r="R280" s="27"/>
      <c r="S280" s="13"/>
      <c r="T280" s="7"/>
      <c r="U280" s="21"/>
      <c r="V280" s="4">
        <v>41080</v>
      </c>
      <c r="W280" s="4">
        <f>V280+365</f>
        <v>41445</v>
      </c>
      <c r="X280" s="12"/>
    </row>
    <row r="281" spans="1:24" x14ac:dyDescent="0.3">
      <c r="A281" s="657"/>
      <c r="B281" s="689"/>
      <c r="C281" s="666"/>
      <c r="D281" s="666"/>
      <c r="E281" s="666"/>
      <c r="F281" s="715"/>
      <c r="G281" s="666"/>
      <c r="H281" s="666"/>
      <c r="I281" s="6" t="s">
        <v>44</v>
      </c>
      <c r="J281" s="19">
        <v>40570</v>
      </c>
      <c r="K281" s="19">
        <v>40586</v>
      </c>
      <c r="L281" s="11"/>
      <c r="M281" s="15">
        <v>40596</v>
      </c>
      <c r="N281" s="19">
        <v>40623</v>
      </c>
      <c r="O281" s="7">
        <v>40673</v>
      </c>
      <c r="P281" s="4"/>
      <c r="Q281" s="23" t="s">
        <v>44</v>
      </c>
      <c r="R281" s="27">
        <f>615637.21/S2</f>
        <v>35483.617196640895</v>
      </c>
      <c r="S281" s="7">
        <v>40706</v>
      </c>
      <c r="T281" s="318">
        <v>40715</v>
      </c>
      <c r="U281" s="21"/>
      <c r="V281" s="4"/>
      <c r="W281" s="21"/>
      <c r="X281" s="12"/>
    </row>
    <row r="282" spans="1:24" x14ac:dyDescent="0.3">
      <c r="A282" s="657"/>
      <c r="B282" s="689"/>
      <c r="C282" s="666"/>
      <c r="D282" s="666"/>
      <c r="E282" s="666"/>
      <c r="F282" s="715"/>
      <c r="G282" s="666"/>
      <c r="H282" s="666"/>
      <c r="I282" s="310"/>
      <c r="J282" s="311"/>
      <c r="K282" s="311"/>
      <c r="L282" s="312"/>
      <c r="M282" s="313"/>
      <c r="N282" s="311"/>
      <c r="O282" s="311"/>
      <c r="P282" s="311"/>
      <c r="Q282" s="310"/>
      <c r="R282" s="314"/>
      <c r="S282" s="315"/>
      <c r="T282" s="311"/>
      <c r="U282" s="315"/>
      <c r="V282" s="316"/>
      <c r="W282" s="316"/>
      <c r="X282" s="317"/>
    </row>
    <row r="283" spans="1:24" x14ac:dyDescent="0.3">
      <c r="A283" s="656" t="s">
        <v>279</v>
      </c>
      <c r="B283" s="688" t="s">
        <v>280</v>
      </c>
      <c r="C283" s="665"/>
      <c r="D283" s="665" t="s">
        <v>93</v>
      </c>
      <c r="E283" s="665" t="s">
        <v>40</v>
      </c>
      <c r="F283" s="714">
        <f>1560000/S2</f>
        <v>89914.062905261686</v>
      </c>
      <c r="G283" s="665" t="s">
        <v>94</v>
      </c>
      <c r="H283" s="665" t="s">
        <v>94</v>
      </c>
      <c r="I283" s="6" t="s">
        <v>43</v>
      </c>
      <c r="J283" s="19">
        <v>40471</v>
      </c>
      <c r="K283" s="19">
        <v>40487</v>
      </c>
      <c r="L283" s="7"/>
      <c r="M283" s="9">
        <v>40497</v>
      </c>
      <c r="N283" s="7">
        <v>40527</v>
      </c>
      <c r="O283" s="13">
        <v>40542</v>
      </c>
      <c r="P283" s="4">
        <f>O283+5</f>
        <v>40547</v>
      </c>
      <c r="Q283" s="23" t="s">
        <v>43</v>
      </c>
      <c r="R283" s="14"/>
      <c r="S283" s="13">
        <v>40563</v>
      </c>
      <c r="T283" s="7">
        <v>40570</v>
      </c>
      <c r="U283" s="21"/>
      <c r="V283" s="4">
        <f>T285+195</f>
        <v>40911</v>
      </c>
      <c r="W283" s="4">
        <f>V283+365</f>
        <v>41276</v>
      </c>
      <c r="X283" s="12"/>
    </row>
    <row r="284" spans="1:24" x14ac:dyDescent="0.3">
      <c r="A284" s="657"/>
      <c r="B284" s="689"/>
      <c r="C284" s="666"/>
      <c r="D284" s="666"/>
      <c r="E284" s="666"/>
      <c r="F284" s="715"/>
      <c r="G284" s="666"/>
      <c r="H284" s="666"/>
      <c r="I284" s="25" t="s">
        <v>226</v>
      </c>
      <c r="J284" s="19"/>
      <c r="K284" s="19"/>
      <c r="L284" s="7"/>
      <c r="M284" s="9"/>
      <c r="N284" s="7"/>
      <c r="O284" s="13"/>
      <c r="P284" s="7"/>
      <c r="Q284" s="26" t="s">
        <v>226</v>
      </c>
      <c r="R284" s="27"/>
      <c r="S284" s="13"/>
      <c r="T284" s="7"/>
      <c r="U284" s="21"/>
      <c r="V284" s="4">
        <v>41080</v>
      </c>
      <c r="W284" s="4">
        <f>V284+365</f>
        <v>41445</v>
      </c>
      <c r="X284" s="12"/>
    </row>
    <row r="285" spans="1:24" ht="13.5" customHeight="1" x14ac:dyDescent="0.3">
      <c r="A285" s="657"/>
      <c r="B285" s="689"/>
      <c r="C285" s="666"/>
      <c r="D285" s="666"/>
      <c r="E285" s="666"/>
      <c r="F285" s="715"/>
      <c r="G285" s="666"/>
      <c r="H285" s="666"/>
      <c r="I285" s="6" t="s">
        <v>44</v>
      </c>
      <c r="J285" s="19">
        <v>40570</v>
      </c>
      <c r="K285" s="19">
        <v>40586</v>
      </c>
      <c r="L285" s="11"/>
      <c r="M285" s="15">
        <v>40596</v>
      </c>
      <c r="N285" s="19">
        <v>40623</v>
      </c>
      <c r="O285" s="7">
        <v>40673</v>
      </c>
      <c r="P285" s="4"/>
      <c r="Q285" s="23" t="s">
        <v>44</v>
      </c>
      <c r="R285" s="27">
        <f>1005324.89/S2</f>
        <v>57944.131666464935</v>
      </c>
      <c r="S285" s="7">
        <v>40706</v>
      </c>
      <c r="T285" s="320">
        <v>40716</v>
      </c>
      <c r="U285" s="21"/>
      <c r="V285" s="4"/>
      <c r="W285" s="21"/>
      <c r="X285" s="12"/>
    </row>
    <row r="286" spans="1:24" x14ac:dyDescent="0.3">
      <c r="A286" s="657"/>
      <c r="B286" s="689"/>
      <c r="C286" s="666"/>
      <c r="D286" s="666"/>
      <c r="E286" s="666"/>
      <c r="F286" s="715"/>
      <c r="G286" s="666"/>
      <c r="H286" s="666"/>
      <c r="I286" s="310"/>
      <c r="J286" s="311"/>
      <c r="K286" s="311"/>
      <c r="L286" s="312"/>
      <c r="M286" s="313"/>
      <c r="N286" s="311"/>
      <c r="O286" s="311"/>
      <c r="P286" s="311"/>
      <c r="Q286" s="310"/>
      <c r="R286" s="314"/>
      <c r="S286" s="315"/>
      <c r="T286" s="311"/>
      <c r="U286" s="315"/>
      <c r="V286" s="316"/>
      <c r="W286" s="316"/>
      <c r="X286" s="317"/>
    </row>
    <row r="287" spans="1:24" x14ac:dyDescent="0.3">
      <c r="A287" s="656" t="s">
        <v>281</v>
      </c>
      <c r="B287" s="688" t="s">
        <v>282</v>
      </c>
      <c r="C287" s="665"/>
      <c r="D287" s="665" t="s">
        <v>93</v>
      </c>
      <c r="E287" s="665" t="s">
        <v>40</v>
      </c>
      <c r="F287" s="714">
        <f>1485000/S2</f>
        <v>85591.271419431811</v>
      </c>
      <c r="G287" s="665" t="s">
        <v>94</v>
      </c>
      <c r="H287" s="665" t="s">
        <v>94</v>
      </c>
      <c r="I287" s="6" t="s">
        <v>43</v>
      </c>
      <c r="J287" s="19">
        <v>40532</v>
      </c>
      <c r="K287" s="19">
        <v>40548</v>
      </c>
      <c r="L287" s="7"/>
      <c r="M287" s="9">
        <v>40558</v>
      </c>
      <c r="N287" s="7">
        <v>40589</v>
      </c>
      <c r="O287" s="13">
        <v>40604</v>
      </c>
      <c r="P287" s="4">
        <f>O287+5</f>
        <v>40609</v>
      </c>
      <c r="Q287" s="23" t="s">
        <v>43</v>
      </c>
      <c r="R287" s="14"/>
      <c r="S287" s="13">
        <v>40622</v>
      </c>
      <c r="T287" s="7">
        <v>40629</v>
      </c>
      <c r="U287" s="21"/>
      <c r="V287" s="4">
        <f>T289+195</f>
        <v>40912</v>
      </c>
      <c r="W287" s="4">
        <f>V287+365</f>
        <v>41277</v>
      </c>
      <c r="X287" s="12"/>
    </row>
    <row r="288" spans="1:24" x14ac:dyDescent="0.3">
      <c r="A288" s="657"/>
      <c r="B288" s="689"/>
      <c r="C288" s="666"/>
      <c r="D288" s="666"/>
      <c r="E288" s="666"/>
      <c r="F288" s="715"/>
      <c r="G288" s="666"/>
      <c r="H288" s="666"/>
      <c r="I288" s="25" t="s">
        <v>226</v>
      </c>
      <c r="J288" s="19"/>
      <c r="K288" s="19"/>
      <c r="L288" s="7"/>
      <c r="M288" s="9"/>
      <c r="N288" s="7"/>
      <c r="O288" s="13"/>
      <c r="P288" s="7"/>
      <c r="Q288" s="26" t="s">
        <v>226</v>
      </c>
      <c r="R288" s="14"/>
      <c r="S288" s="13"/>
      <c r="T288" s="7"/>
      <c r="U288" s="21"/>
      <c r="V288" s="4">
        <v>41080</v>
      </c>
      <c r="W288" s="4">
        <f>V288+365</f>
        <v>41445</v>
      </c>
      <c r="X288" s="12"/>
    </row>
    <row r="289" spans="1:24" x14ac:dyDescent="0.3">
      <c r="A289" s="657"/>
      <c r="B289" s="689"/>
      <c r="C289" s="666"/>
      <c r="D289" s="666"/>
      <c r="E289" s="666"/>
      <c r="F289" s="715"/>
      <c r="G289" s="666"/>
      <c r="H289" s="666"/>
      <c r="I289" s="6" t="s">
        <v>44</v>
      </c>
      <c r="J289" s="19">
        <v>40570</v>
      </c>
      <c r="K289" s="19">
        <v>40586</v>
      </c>
      <c r="L289" s="11"/>
      <c r="M289" s="15">
        <v>40596</v>
      </c>
      <c r="N289" s="19">
        <v>40623</v>
      </c>
      <c r="O289" s="7">
        <v>40673</v>
      </c>
      <c r="P289" s="158"/>
      <c r="Q289" s="23" t="s">
        <v>44</v>
      </c>
      <c r="R289" s="14">
        <f>482134.98/S2</f>
        <v>27788.919820863517</v>
      </c>
      <c r="S289" s="7">
        <v>40706</v>
      </c>
      <c r="T289" s="321">
        <v>40717</v>
      </c>
      <c r="U289" s="21"/>
      <c r="V289" s="4"/>
      <c r="W289" s="21"/>
      <c r="X289" s="12"/>
    </row>
    <row r="290" spans="1:24" x14ac:dyDescent="0.3">
      <c r="A290" s="657"/>
      <c r="B290" s="689"/>
      <c r="C290" s="666"/>
      <c r="D290" s="666"/>
      <c r="E290" s="666"/>
      <c r="F290" s="715"/>
      <c r="G290" s="666"/>
      <c r="H290" s="666"/>
      <c r="I290" s="310"/>
      <c r="J290" s="311"/>
      <c r="K290" s="311"/>
      <c r="L290" s="312"/>
      <c r="M290" s="313"/>
      <c r="N290" s="311"/>
      <c r="O290" s="311"/>
      <c r="P290" s="311"/>
      <c r="Q290" s="310"/>
      <c r="R290" s="314"/>
      <c r="S290" s="315"/>
      <c r="T290" s="311"/>
      <c r="U290" s="315"/>
      <c r="V290" s="316"/>
      <c r="W290" s="316"/>
      <c r="X290" s="317"/>
    </row>
    <row r="291" spans="1:24" x14ac:dyDescent="0.3">
      <c r="A291" s="656" t="s">
        <v>283</v>
      </c>
      <c r="B291" s="688" t="s">
        <v>284</v>
      </c>
      <c r="C291" s="665"/>
      <c r="D291" s="665" t="s">
        <v>93</v>
      </c>
      <c r="E291" s="665" t="s">
        <v>40</v>
      </c>
      <c r="F291" s="714">
        <f>1485000/S2</f>
        <v>85591.271419431811</v>
      </c>
      <c r="G291" s="665" t="s">
        <v>94</v>
      </c>
      <c r="H291" s="665" t="s">
        <v>94</v>
      </c>
      <c r="I291" s="6" t="s">
        <v>43</v>
      </c>
      <c r="J291" s="19">
        <v>40532</v>
      </c>
      <c r="K291" s="19">
        <v>40548</v>
      </c>
      <c r="L291" s="7"/>
      <c r="M291" s="9">
        <v>40558</v>
      </c>
      <c r="N291" s="7">
        <v>40589</v>
      </c>
      <c r="O291" s="13">
        <v>40604</v>
      </c>
      <c r="P291" s="4">
        <f>O291+5</f>
        <v>40609</v>
      </c>
      <c r="Q291" s="23" t="s">
        <v>43</v>
      </c>
      <c r="R291" s="14"/>
      <c r="S291" s="13">
        <v>40622</v>
      </c>
      <c r="T291" s="7">
        <v>40629</v>
      </c>
      <c r="U291" s="21"/>
      <c r="V291" s="4">
        <f>T293+195</f>
        <v>40981</v>
      </c>
      <c r="W291" s="4">
        <f>V291+365</f>
        <v>41346</v>
      </c>
      <c r="X291" s="12"/>
    </row>
    <row r="292" spans="1:24" x14ac:dyDescent="0.3">
      <c r="A292" s="657"/>
      <c r="B292" s="689"/>
      <c r="C292" s="666"/>
      <c r="D292" s="666"/>
      <c r="E292" s="666"/>
      <c r="F292" s="715"/>
      <c r="G292" s="666"/>
      <c r="H292" s="666"/>
      <c r="I292" s="25" t="s">
        <v>226</v>
      </c>
      <c r="J292" s="19"/>
      <c r="K292" s="19"/>
      <c r="L292" s="7"/>
      <c r="M292" s="9"/>
      <c r="N292" s="7"/>
      <c r="O292" s="13"/>
      <c r="P292" s="7"/>
      <c r="Q292" s="26" t="s">
        <v>226</v>
      </c>
      <c r="R292" s="14"/>
      <c r="S292" s="13"/>
      <c r="T292" s="7"/>
      <c r="U292" s="21"/>
      <c r="V292" s="4">
        <v>41080</v>
      </c>
      <c r="W292" s="4">
        <f>V292+365</f>
        <v>41445</v>
      </c>
      <c r="X292" s="12"/>
    </row>
    <row r="293" spans="1:24" x14ac:dyDescent="0.3">
      <c r="A293" s="657"/>
      <c r="B293" s="689"/>
      <c r="C293" s="666"/>
      <c r="D293" s="666"/>
      <c r="E293" s="666"/>
      <c r="F293" s="715"/>
      <c r="G293" s="666"/>
      <c r="H293" s="666"/>
      <c r="I293" s="6" t="s">
        <v>44</v>
      </c>
      <c r="J293" s="19">
        <v>40570</v>
      </c>
      <c r="K293" s="19">
        <v>40586</v>
      </c>
      <c r="L293" s="11"/>
      <c r="M293" s="15">
        <v>40596</v>
      </c>
      <c r="N293" s="19">
        <v>40623</v>
      </c>
      <c r="O293" s="7">
        <v>40673</v>
      </c>
      <c r="P293" s="158"/>
      <c r="Q293" s="23" t="s">
        <v>44</v>
      </c>
      <c r="R293" s="14">
        <f>907353.31/S2</f>
        <v>52297.322174767578</v>
      </c>
      <c r="S293" s="7">
        <v>40706</v>
      </c>
      <c r="T293" s="321">
        <v>40786</v>
      </c>
      <c r="U293" s="21"/>
      <c r="V293" s="4"/>
      <c r="W293" s="21"/>
      <c r="X293" s="12"/>
    </row>
    <row r="294" spans="1:24" x14ac:dyDescent="0.3">
      <c r="A294" s="657"/>
      <c r="B294" s="689"/>
      <c r="C294" s="666"/>
      <c r="D294" s="666"/>
      <c r="E294" s="666"/>
      <c r="F294" s="715"/>
      <c r="G294" s="666"/>
      <c r="H294" s="666"/>
      <c r="I294" s="310"/>
      <c r="J294" s="311"/>
      <c r="K294" s="311"/>
      <c r="L294" s="312"/>
      <c r="M294" s="313"/>
      <c r="N294" s="311"/>
      <c r="O294" s="311"/>
      <c r="P294" s="311"/>
      <c r="Q294" s="310"/>
      <c r="R294" s="314"/>
      <c r="S294" s="315"/>
      <c r="T294" s="311"/>
      <c r="U294" s="315"/>
      <c r="V294" s="316"/>
      <c r="W294" s="316"/>
      <c r="X294" s="317"/>
    </row>
    <row r="295" spans="1:24" x14ac:dyDescent="0.3">
      <c r="A295" s="656" t="s">
        <v>285</v>
      </c>
      <c r="B295" s="688" t="s">
        <v>286</v>
      </c>
      <c r="C295" s="665"/>
      <c r="D295" s="665" t="s">
        <v>93</v>
      </c>
      <c r="E295" s="665" t="s">
        <v>40</v>
      </c>
      <c r="F295" s="714">
        <v>92253.1</v>
      </c>
      <c r="G295" s="665" t="s">
        <v>94</v>
      </c>
      <c r="H295" s="665" t="s">
        <v>94</v>
      </c>
      <c r="I295" s="6" t="s">
        <v>43</v>
      </c>
      <c r="J295" s="19">
        <v>40532</v>
      </c>
      <c r="K295" s="19">
        <v>40548</v>
      </c>
      <c r="L295" s="7"/>
      <c r="M295" s="9">
        <v>40558</v>
      </c>
      <c r="N295" s="7">
        <v>40589</v>
      </c>
      <c r="O295" s="13">
        <v>40604</v>
      </c>
      <c r="P295" s="4">
        <f>O295+5</f>
        <v>40609</v>
      </c>
      <c r="Q295" s="23" t="s">
        <v>43</v>
      </c>
      <c r="R295" s="14"/>
      <c r="S295" s="13">
        <v>40622</v>
      </c>
      <c r="T295" s="7">
        <v>40629</v>
      </c>
      <c r="U295" s="21"/>
      <c r="V295" s="4">
        <f>T297+195</f>
        <v>40906</v>
      </c>
      <c r="W295" s="4">
        <f>V295+365</f>
        <v>41271</v>
      </c>
      <c r="X295" s="12"/>
    </row>
    <row r="296" spans="1:24" x14ac:dyDescent="0.3">
      <c r="A296" s="657"/>
      <c r="B296" s="689"/>
      <c r="C296" s="666"/>
      <c r="D296" s="666"/>
      <c r="E296" s="666"/>
      <c r="F296" s="715"/>
      <c r="G296" s="666"/>
      <c r="H296" s="666"/>
      <c r="I296" s="25" t="s">
        <v>226</v>
      </c>
      <c r="J296" s="19"/>
      <c r="K296" s="19"/>
      <c r="L296" s="7"/>
      <c r="M296" s="9"/>
      <c r="N296" s="7"/>
      <c r="O296" s="13"/>
      <c r="P296" s="7"/>
      <c r="Q296" s="26" t="s">
        <v>226</v>
      </c>
      <c r="R296" s="14"/>
      <c r="S296" s="13"/>
      <c r="T296" s="7"/>
      <c r="U296" s="21"/>
      <c r="V296" s="4">
        <v>41080</v>
      </c>
      <c r="W296" s="4">
        <f>V296+365</f>
        <v>41445</v>
      </c>
      <c r="X296" s="12"/>
    </row>
    <row r="297" spans="1:24" x14ac:dyDescent="0.3">
      <c r="A297" s="657"/>
      <c r="B297" s="689"/>
      <c r="C297" s="666"/>
      <c r="D297" s="666"/>
      <c r="E297" s="666"/>
      <c r="F297" s="715"/>
      <c r="G297" s="666"/>
      <c r="H297" s="666"/>
      <c r="I297" s="6" t="s">
        <v>44</v>
      </c>
      <c r="J297" s="19">
        <v>40570</v>
      </c>
      <c r="K297" s="19">
        <v>40586</v>
      </c>
      <c r="L297" s="11"/>
      <c r="M297" s="15">
        <v>40596</v>
      </c>
      <c r="N297" s="19">
        <v>40623</v>
      </c>
      <c r="O297" s="7">
        <v>40673</v>
      </c>
      <c r="P297" s="158"/>
      <c r="Q297" s="23" t="s">
        <v>44</v>
      </c>
      <c r="R297" s="14">
        <f>1437722.64/S2</f>
        <v>82866.335829024931</v>
      </c>
      <c r="S297" s="7">
        <v>40706</v>
      </c>
      <c r="T297" s="318">
        <v>40711</v>
      </c>
      <c r="U297" s="21"/>
      <c r="V297" s="4"/>
      <c r="W297" s="21"/>
      <c r="X297" s="12"/>
    </row>
    <row r="298" spans="1:24" x14ac:dyDescent="0.3">
      <c r="A298" s="657"/>
      <c r="B298" s="689"/>
      <c r="C298" s="666"/>
      <c r="D298" s="666"/>
      <c r="E298" s="666"/>
      <c r="F298" s="715"/>
      <c r="G298" s="666"/>
      <c r="H298" s="666"/>
      <c r="I298" s="310"/>
      <c r="J298" s="311"/>
      <c r="K298" s="311"/>
      <c r="L298" s="312"/>
      <c r="M298" s="313"/>
      <c r="N298" s="311"/>
      <c r="O298" s="311"/>
      <c r="P298" s="311"/>
      <c r="Q298" s="310"/>
      <c r="R298" s="314"/>
      <c r="S298" s="315"/>
      <c r="T298" s="311"/>
      <c r="U298" s="315"/>
      <c r="V298" s="316"/>
      <c r="W298" s="316"/>
      <c r="X298" s="317"/>
    </row>
    <row r="299" spans="1:24" x14ac:dyDescent="0.3">
      <c r="A299" s="656" t="s">
        <v>287</v>
      </c>
      <c r="B299" s="688" t="s">
        <v>288</v>
      </c>
      <c r="C299" s="665"/>
      <c r="D299" s="665" t="s">
        <v>93</v>
      </c>
      <c r="E299" s="665" t="s">
        <v>40</v>
      </c>
      <c r="F299" s="714">
        <f>1560000/S2</f>
        <v>89914.062905261686</v>
      </c>
      <c r="G299" s="665" t="s">
        <v>94</v>
      </c>
      <c r="H299" s="665" t="s">
        <v>94</v>
      </c>
      <c r="I299" s="6" t="s">
        <v>43</v>
      </c>
      <c r="J299" s="19">
        <v>40471</v>
      </c>
      <c r="K299" s="19">
        <v>40487</v>
      </c>
      <c r="L299" s="7"/>
      <c r="M299" s="9">
        <v>40497</v>
      </c>
      <c r="N299" s="7">
        <v>40527</v>
      </c>
      <c r="O299" s="13">
        <v>40542</v>
      </c>
      <c r="P299" s="4">
        <f>O299+5</f>
        <v>40547</v>
      </c>
      <c r="Q299" s="23" t="s">
        <v>43</v>
      </c>
      <c r="R299" s="14"/>
      <c r="S299" s="13">
        <v>40563</v>
      </c>
      <c r="T299" s="7">
        <v>40570</v>
      </c>
      <c r="U299" s="21"/>
      <c r="V299" s="4">
        <f>T301+195</f>
        <v>40913</v>
      </c>
      <c r="W299" s="4">
        <f>V299+365</f>
        <v>41278</v>
      </c>
      <c r="X299" s="12"/>
    </row>
    <row r="300" spans="1:24" x14ac:dyDescent="0.3">
      <c r="A300" s="657"/>
      <c r="B300" s="689"/>
      <c r="C300" s="666"/>
      <c r="D300" s="666"/>
      <c r="E300" s="666"/>
      <c r="F300" s="715"/>
      <c r="G300" s="666"/>
      <c r="H300" s="666"/>
      <c r="I300" s="25" t="s">
        <v>226</v>
      </c>
      <c r="J300" s="19"/>
      <c r="K300" s="19"/>
      <c r="L300" s="7"/>
      <c r="M300" s="9"/>
      <c r="N300" s="7"/>
      <c r="O300" s="13"/>
      <c r="P300" s="7"/>
      <c r="Q300" s="26" t="s">
        <v>226</v>
      </c>
      <c r="R300" s="14"/>
      <c r="S300" s="13"/>
      <c r="T300" s="7"/>
      <c r="U300" s="21"/>
      <c r="V300" s="4">
        <v>41080</v>
      </c>
      <c r="W300" s="4">
        <f>V300+365</f>
        <v>41445</v>
      </c>
      <c r="X300" s="12"/>
    </row>
    <row r="301" spans="1:24" x14ac:dyDescent="0.3">
      <c r="A301" s="657"/>
      <c r="B301" s="689"/>
      <c r="C301" s="666"/>
      <c r="D301" s="666"/>
      <c r="E301" s="666"/>
      <c r="F301" s="715"/>
      <c r="G301" s="666"/>
      <c r="H301" s="666"/>
      <c r="I301" s="6" t="s">
        <v>44</v>
      </c>
      <c r="J301" s="19">
        <v>40570</v>
      </c>
      <c r="K301" s="19">
        <v>40586</v>
      </c>
      <c r="L301" s="11"/>
      <c r="M301" s="15">
        <v>40596</v>
      </c>
      <c r="N301" s="19">
        <v>40623</v>
      </c>
      <c r="O301" s="7">
        <v>40673</v>
      </c>
      <c r="P301" s="158"/>
      <c r="Q301" s="23" t="s">
        <v>44</v>
      </c>
      <c r="R301" s="14">
        <f>1292866.62/S2</f>
        <v>74517.23756332889</v>
      </c>
      <c r="S301" s="7">
        <v>40706</v>
      </c>
      <c r="T301" s="320">
        <v>40718</v>
      </c>
      <c r="U301" s="21"/>
      <c r="V301" s="4"/>
      <c r="W301" s="21"/>
      <c r="X301" s="12"/>
    </row>
    <row r="302" spans="1:24" x14ac:dyDescent="0.3">
      <c r="A302" s="657"/>
      <c r="B302" s="689"/>
      <c r="C302" s="666"/>
      <c r="D302" s="666"/>
      <c r="E302" s="666"/>
      <c r="F302" s="715"/>
      <c r="G302" s="666"/>
      <c r="H302" s="666"/>
      <c r="I302" s="310"/>
      <c r="J302" s="311"/>
      <c r="K302" s="311"/>
      <c r="L302" s="312"/>
      <c r="M302" s="313"/>
      <c r="N302" s="311"/>
      <c r="O302" s="311"/>
      <c r="P302" s="311"/>
      <c r="Q302" s="310"/>
      <c r="R302" s="314"/>
      <c r="S302" s="315"/>
      <c r="T302" s="311"/>
      <c r="U302" s="315"/>
      <c r="V302" s="316"/>
      <c r="W302" s="316"/>
      <c r="X302" s="317"/>
    </row>
    <row r="303" spans="1:24" x14ac:dyDescent="0.3">
      <c r="A303" s="656" t="s">
        <v>289</v>
      </c>
      <c r="B303" s="688" t="s">
        <v>290</v>
      </c>
      <c r="C303" s="665"/>
      <c r="D303" s="665" t="s">
        <v>93</v>
      </c>
      <c r="E303" s="665" t="s">
        <v>40</v>
      </c>
      <c r="F303" s="714">
        <f>1560000/S2</f>
        <v>89914.062905261686</v>
      </c>
      <c r="G303" s="665" t="s">
        <v>94</v>
      </c>
      <c r="H303" s="665" t="s">
        <v>94</v>
      </c>
      <c r="I303" s="6" t="s">
        <v>43</v>
      </c>
      <c r="J303" s="19">
        <v>40471</v>
      </c>
      <c r="K303" s="19">
        <v>40487</v>
      </c>
      <c r="L303" s="7"/>
      <c r="M303" s="9">
        <v>40497</v>
      </c>
      <c r="N303" s="7">
        <v>40527</v>
      </c>
      <c r="O303" s="13">
        <v>40542</v>
      </c>
      <c r="P303" s="4">
        <f>O303+5</f>
        <v>40547</v>
      </c>
      <c r="Q303" s="23" t="s">
        <v>43</v>
      </c>
      <c r="R303" s="14"/>
      <c r="S303" s="13">
        <v>40563</v>
      </c>
      <c r="T303" s="7">
        <v>40570</v>
      </c>
      <c r="U303" s="21"/>
      <c r="V303" s="4">
        <f>T305+195</f>
        <v>40913</v>
      </c>
      <c r="W303" s="4">
        <f>V303+365</f>
        <v>41278</v>
      </c>
      <c r="X303" s="12"/>
    </row>
    <row r="304" spans="1:24" x14ac:dyDescent="0.3">
      <c r="A304" s="657"/>
      <c r="B304" s="689"/>
      <c r="C304" s="666"/>
      <c r="D304" s="666"/>
      <c r="E304" s="666"/>
      <c r="F304" s="715"/>
      <c r="G304" s="666"/>
      <c r="H304" s="666"/>
      <c r="I304" s="25" t="s">
        <v>226</v>
      </c>
      <c r="J304" s="19"/>
      <c r="K304" s="19"/>
      <c r="L304" s="7"/>
      <c r="M304" s="9"/>
      <c r="N304" s="7"/>
      <c r="O304" s="13"/>
      <c r="P304" s="7"/>
      <c r="Q304" s="26" t="s">
        <v>226</v>
      </c>
      <c r="R304" s="14"/>
      <c r="S304" s="13"/>
      <c r="T304" s="7"/>
      <c r="U304" s="21"/>
      <c r="V304" s="4">
        <v>41080</v>
      </c>
      <c r="W304" s="4">
        <f>V304+365</f>
        <v>41445</v>
      </c>
      <c r="X304" s="12"/>
    </row>
    <row r="305" spans="1:24" x14ac:dyDescent="0.3">
      <c r="A305" s="657"/>
      <c r="B305" s="689"/>
      <c r="C305" s="666"/>
      <c r="D305" s="666"/>
      <c r="E305" s="666"/>
      <c r="F305" s="715"/>
      <c r="G305" s="666"/>
      <c r="H305" s="666"/>
      <c r="I305" s="6" t="s">
        <v>44</v>
      </c>
      <c r="J305" s="19">
        <v>40570</v>
      </c>
      <c r="K305" s="19">
        <v>40586</v>
      </c>
      <c r="L305" s="11"/>
      <c r="M305" s="15">
        <v>40596</v>
      </c>
      <c r="N305" s="19">
        <v>40623</v>
      </c>
      <c r="O305" s="7">
        <v>40673</v>
      </c>
      <c r="P305" s="158"/>
      <c r="Q305" s="23" t="s">
        <v>44</v>
      </c>
      <c r="R305" s="14">
        <f>1803543.39/S2</f>
        <v>103951.22680822367</v>
      </c>
      <c r="S305" s="7">
        <v>40706</v>
      </c>
      <c r="T305" s="318">
        <v>40718</v>
      </c>
      <c r="U305" s="21"/>
      <c r="V305" s="21"/>
      <c r="W305" s="21"/>
      <c r="X305" s="12"/>
    </row>
    <row r="306" spans="1:24" x14ac:dyDescent="0.3">
      <c r="A306" s="657"/>
      <c r="B306" s="689"/>
      <c r="C306" s="666"/>
      <c r="D306" s="666"/>
      <c r="E306" s="666"/>
      <c r="F306" s="715"/>
      <c r="G306" s="666"/>
      <c r="H306" s="666"/>
      <c r="I306" s="310"/>
      <c r="J306" s="311"/>
      <c r="K306" s="311"/>
      <c r="L306" s="312"/>
      <c r="M306" s="313"/>
      <c r="N306" s="311"/>
      <c r="O306" s="311"/>
      <c r="P306" s="311"/>
      <c r="Q306" s="310"/>
      <c r="R306" s="314"/>
      <c r="S306" s="315"/>
      <c r="T306" s="311"/>
      <c r="U306" s="315"/>
      <c r="V306" s="316"/>
      <c r="W306" s="316"/>
      <c r="X306" s="317"/>
    </row>
    <row r="307" spans="1:24" x14ac:dyDescent="0.3">
      <c r="A307" s="656" t="s">
        <v>291</v>
      </c>
      <c r="B307" s="688" t="s">
        <v>292</v>
      </c>
      <c r="C307" s="665"/>
      <c r="D307" s="665" t="s">
        <v>93</v>
      </c>
      <c r="E307" s="665" t="s">
        <v>40</v>
      </c>
      <c r="F307" s="714">
        <f>1560000/S2</f>
        <v>89914.062905261686</v>
      </c>
      <c r="G307" s="665" t="s">
        <v>94</v>
      </c>
      <c r="H307" s="665" t="s">
        <v>94</v>
      </c>
      <c r="I307" s="6" t="s">
        <v>43</v>
      </c>
      <c r="J307" s="19">
        <v>40471</v>
      </c>
      <c r="K307" s="19">
        <v>40487</v>
      </c>
      <c r="L307" s="7"/>
      <c r="M307" s="9">
        <v>40497</v>
      </c>
      <c r="N307" s="7">
        <v>40527</v>
      </c>
      <c r="O307" s="13">
        <v>40542</v>
      </c>
      <c r="P307" s="4">
        <f>O307+5</f>
        <v>40547</v>
      </c>
      <c r="Q307" s="23" t="s">
        <v>43</v>
      </c>
      <c r="R307" s="14"/>
      <c r="S307" s="13">
        <v>40563</v>
      </c>
      <c r="T307" s="7">
        <v>40570</v>
      </c>
      <c r="U307" s="21"/>
      <c r="V307" s="4">
        <f>T309+195</f>
        <v>40906</v>
      </c>
      <c r="W307" s="4">
        <f>V307+365</f>
        <v>41271</v>
      </c>
      <c r="X307" s="12"/>
    </row>
    <row r="308" spans="1:24" x14ac:dyDescent="0.3">
      <c r="A308" s="657"/>
      <c r="B308" s="689"/>
      <c r="C308" s="666"/>
      <c r="D308" s="666"/>
      <c r="E308" s="666"/>
      <c r="F308" s="715"/>
      <c r="G308" s="666"/>
      <c r="H308" s="666"/>
      <c r="I308" s="25" t="s">
        <v>226</v>
      </c>
      <c r="J308" s="19"/>
      <c r="K308" s="19"/>
      <c r="L308" s="7"/>
      <c r="M308" s="9"/>
      <c r="N308" s="7"/>
      <c r="O308" s="13"/>
      <c r="P308" s="7"/>
      <c r="Q308" s="26" t="s">
        <v>226</v>
      </c>
      <c r="R308" s="14"/>
      <c r="S308" s="13"/>
      <c r="T308" s="7"/>
      <c r="U308" s="21"/>
      <c r="V308" s="4">
        <v>41080</v>
      </c>
      <c r="W308" s="4">
        <f>V308+365</f>
        <v>41445</v>
      </c>
      <c r="X308" s="12"/>
    </row>
    <row r="309" spans="1:24" x14ac:dyDescent="0.3">
      <c r="A309" s="657"/>
      <c r="B309" s="689"/>
      <c r="C309" s="666"/>
      <c r="D309" s="666"/>
      <c r="E309" s="666"/>
      <c r="F309" s="715"/>
      <c r="G309" s="666"/>
      <c r="H309" s="666"/>
      <c r="I309" s="6" t="s">
        <v>44</v>
      </c>
      <c r="J309" s="19">
        <v>40570</v>
      </c>
      <c r="K309" s="19">
        <v>40586</v>
      </c>
      <c r="L309" s="11"/>
      <c r="M309" s="15">
        <v>40596</v>
      </c>
      <c r="N309" s="19">
        <v>40623</v>
      </c>
      <c r="O309" s="7">
        <v>40673</v>
      </c>
      <c r="P309" s="158"/>
      <c r="Q309" s="23" t="s">
        <v>44</v>
      </c>
      <c r="R309" s="14">
        <f>1511728.48/S2</f>
        <v>87131.826696407457</v>
      </c>
      <c r="S309" s="7">
        <v>40706</v>
      </c>
      <c r="T309" s="318">
        <v>40711</v>
      </c>
      <c r="U309" s="21"/>
      <c r="V309" s="4"/>
      <c r="W309" s="21"/>
      <c r="X309" s="12"/>
    </row>
    <row r="310" spans="1:24" x14ac:dyDescent="0.3">
      <c r="A310" s="657"/>
      <c r="B310" s="689"/>
      <c r="C310" s="666"/>
      <c r="D310" s="666"/>
      <c r="E310" s="666"/>
      <c r="F310" s="715"/>
      <c r="G310" s="666"/>
      <c r="H310" s="666"/>
      <c r="I310" s="310"/>
      <c r="J310" s="311"/>
      <c r="K310" s="311"/>
      <c r="L310" s="312"/>
      <c r="M310" s="313"/>
      <c r="N310" s="311"/>
      <c r="O310" s="311"/>
      <c r="P310" s="311"/>
      <c r="Q310" s="310"/>
      <c r="R310" s="314"/>
      <c r="S310" s="315"/>
      <c r="T310" s="311"/>
      <c r="U310" s="315"/>
      <c r="V310" s="316"/>
      <c r="W310" s="316"/>
      <c r="X310" s="317"/>
    </row>
    <row r="311" spans="1:24" x14ac:dyDescent="0.3">
      <c r="A311" s="656" t="s">
        <v>293</v>
      </c>
      <c r="B311" s="688" t="s">
        <v>294</v>
      </c>
      <c r="C311" s="665"/>
      <c r="D311" s="665" t="s">
        <v>93</v>
      </c>
      <c r="E311" s="665" t="s">
        <v>40</v>
      </c>
      <c r="F311" s="714">
        <f>1560000/S2</f>
        <v>89914.062905261686</v>
      </c>
      <c r="G311" s="665" t="s">
        <v>94</v>
      </c>
      <c r="H311" s="665" t="s">
        <v>94</v>
      </c>
      <c r="I311" s="6" t="s">
        <v>43</v>
      </c>
      <c r="J311" s="19">
        <v>40471</v>
      </c>
      <c r="K311" s="19">
        <v>40487</v>
      </c>
      <c r="L311" s="7"/>
      <c r="M311" s="9">
        <v>40497</v>
      </c>
      <c r="N311" s="7">
        <v>40527</v>
      </c>
      <c r="O311" s="13">
        <v>40542</v>
      </c>
      <c r="P311" s="4">
        <f>O311+5</f>
        <v>40547</v>
      </c>
      <c r="Q311" s="23" t="s">
        <v>43</v>
      </c>
      <c r="R311" s="14"/>
      <c r="S311" s="13">
        <v>40563</v>
      </c>
      <c r="T311" s="7">
        <v>40570</v>
      </c>
      <c r="U311" s="21"/>
      <c r="V311" s="4">
        <f>T313+195</f>
        <v>40916</v>
      </c>
      <c r="W311" s="4">
        <f>V311+365</f>
        <v>41281</v>
      </c>
      <c r="X311" s="12"/>
    </row>
    <row r="312" spans="1:24" x14ac:dyDescent="0.3">
      <c r="A312" s="657"/>
      <c r="B312" s="689"/>
      <c r="C312" s="666"/>
      <c r="D312" s="666"/>
      <c r="E312" s="666"/>
      <c r="F312" s="715"/>
      <c r="G312" s="666"/>
      <c r="H312" s="666"/>
      <c r="I312" s="25" t="s">
        <v>226</v>
      </c>
      <c r="J312" s="19"/>
      <c r="K312" s="19"/>
      <c r="L312" s="7"/>
      <c r="M312" s="9"/>
      <c r="N312" s="7"/>
      <c r="O312" s="13"/>
      <c r="P312" s="7"/>
      <c r="Q312" s="26" t="s">
        <v>226</v>
      </c>
      <c r="R312" s="14"/>
      <c r="S312" s="13"/>
      <c r="T312" s="7"/>
      <c r="U312" s="21"/>
      <c r="V312" s="4">
        <v>41080</v>
      </c>
      <c r="W312" s="4">
        <f>V312+365</f>
        <v>41445</v>
      </c>
      <c r="X312" s="12"/>
    </row>
    <row r="313" spans="1:24" x14ac:dyDescent="0.3">
      <c r="A313" s="657"/>
      <c r="B313" s="689"/>
      <c r="C313" s="666"/>
      <c r="D313" s="666"/>
      <c r="E313" s="666"/>
      <c r="F313" s="715"/>
      <c r="G313" s="666"/>
      <c r="H313" s="666"/>
      <c r="I313" s="6" t="s">
        <v>44</v>
      </c>
      <c r="J313" s="19">
        <v>40570</v>
      </c>
      <c r="K313" s="19">
        <v>40586</v>
      </c>
      <c r="L313" s="11"/>
      <c r="M313" s="15">
        <v>40596</v>
      </c>
      <c r="N313" s="19">
        <v>40623</v>
      </c>
      <c r="O313" s="7">
        <v>40673</v>
      </c>
      <c r="P313" s="158"/>
      <c r="Q313" s="23" t="s">
        <v>44</v>
      </c>
      <c r="R313" s="14">
        <f>1093176.69/S2</f>
        <v>63007.665173862668</v>
      </c>
      <c r="S313" s="7">
        <v>40706</v>
      </c>
      <c r="T313" s="318">
        <v>40721</v>
      </c>
      <c r="U313" s="21"/>
      <c r="V313" s="4"/>
      <c r="W313" s="21"/>
      <c r="X313" s="12"/>
    </row>
    <row r="314" spans="1:24" x14ac:dyDescent="0.3">
      <c r="A314" s="657"/>
      <c r="B314" s="689"/>
      <c r="C314" s="666"/>
      <c r="D314" s="666"/>
      <c r="E314" s="666"/>
      <c r="F314" s="715"/>
      <c r="G314" s="666"/>
      <c r="H314" s="666"/>
      <c r="I314" s="310"/>
      <c r="J314" s="311"/>
      <c r="K314" s="311"/>
      <c r="L314" s="312"/>
      <c r="M314" s="313"/>
      <c r="N314" s="311"/>
      <c r="O314" s="311"/>
      <c r="P314" s="311"/>
      <c r="Q314" s="310"/>
      <c r="R314" s="314"/>
      <c r="S314" s="315"/>
      <c r="T314" s="311"/>
      <c r="U314" s="315"/>
      <c r="V314" s="316"/>
      <c r="W314" s="316"/>
      <c r="X314" s="317"/>
    </row>
    <row r="315" spans="1:24" x14ac:dyDescent="0.3">
      <c r="A315" s="656" t="s">
        <v>295</v>
      </c>
      <c r="B315" s="688" t="s">
        <v>296</v>
      </c>
      <c r="C315" s="665"/>
      <c r="D315" s="665" t="s">
        <v>93</v>
      </c>
      <c r="E315" s="665" t="s">
        <v>40</v>
      </c>
      <c r="F315" s="714">
        <f>1560000/S2</f>
        <v>89914.062905261686</v>
      </c>
      <c r="G315" s="665" t="s">
        <v>94</v>
      </c>
      <c r="H315" s="665" t="s">
        <v>94</v>
      </c>
      <c r="I315" s="6" t="s">
        <v>43</v>
      </c>
      <c r="J315" s="19">
        <v>40471</v>
      </c>
      <c r="K315" s="19">
        <v>40487</v>
      </c>
      <c r="L315" s="7"/>
      <c r="M315" s="9">
        <v>40497</v>
      </c>
      <c r="N315" s="7">
        <v>40527</v>
      </c>
      <c r="O315" s="13">
        <v>40542</v>
      </c>
      <c r="P315" s="4">
        <f>O315+5</f>
        <v>40547</v>
      </c>
      <c r="Q315" s="23" t="s">
        <v>43</v>
      </c>
      <c r="R315" s="14"/>
      <c r="S315" s="13">
        <v>40563</v>
      </c>
      <c r="T315" s="7">
        <v>40570</v>
      </c>
      <c r="U315" s="21"/>
      <c r="V315" s="4">
        <f>T315+195</f>
        <v>40765</v>
      </c>
      <c r="W315" s="4">
        <f>V315+365</f>
        <v>41130</v>
      </c>
      <c r="X315" s="12"/>
    </row>
    <row r="316" spans="1:24" x14ac:dyDescent="0.3">
      <c r="A316" s="657"/>
      <c r="B316" s="689"/>
      <c r="C316" s="666"/>
      <c r="D316" s="666"/>
      <c r="E316" s="666"/>
      <c r="F316" s="715"/>
      <c r="G316" s="666"/>
      <c r="H316" s="666"/>
      <c r="I316" s="25" t="s">
        <v>226</v>
      </c>
      <c r="J316" s="19"/>
      <c r="K316" s="19"/>
      <c r="L316" s="7"/>
      <c r="M316" s="9"/>
      <c r="N316" s="7"/>
      <c r="O316" s="13"/>
      <c r="P316" s="7"/>
      <c r="Q316" s="26" t="s">
        <v>226</v>
      </c>
      <c r="R316" s="14"/>
      <c r="S316" s="13"/>
      <c r="T316" s="7"/>
      <c r="U316" s="21"/>
      <c r="V316" s="4">
        <v>41080</v>
      </c>
      <c r="W316" s="4">
        <f>V316+365</f>
        <v>41445</v>
      </c>
      <c r="X316" s="12"/>
    </row>
    <row r="317" spans="1:24" x14ac:dyDescent="0.3">
      <c r="A317" s="657"/>
      <c r="B317" s="689"/>
      <c r="C317" s="666"/>
      <c r="D317" s="666"/>
      <c r="E317" s="666"/>
      <c r="F317" s="715"/>
      <c r="G317" s="666"/>
      <c r="H317" s="666"/>
      <c r="I317" s="6" t="s">
        <v>44</v>
      </c>
      <c r="J317" s="19">
        <v>40570</v>
      </c>
      <c r="K317" s="19">
        <v>40586</v>
      </c>
      <c r="L317" s="11"/>
      <c r="M317" s="15">
        <v>40596</v>
      </c>
      <c r="N317" s="19">
        <v>40623</v>
      </c>
      <c r="O317" s="7">
        <v>40673</v>
      </c>
      <c r="P317" s="158"/>
      <c r="Q317" s="23" t="s">
        <v>44</v>
      </c>
      <c r="R317" s="35">
        <f>1548658.66/S2</f>
        <v>89260.379598729662</v>
      </c>
      <c r="S317" s="7">
        <v>40706</v>
      </c>
      <c r="T317" s="319">
        <v>40779</v>
      </c>
      <c r="U317" s="21"/>
      <c r="V317" s="4"/>
      <c r="W317" s="21"/>
      <c r="X317" s="12"/>
    </row>
    <row r="318" spans="1:24" x14ac:dyDescent="0.3">
      <c r="A318" s="657"/>
      <c r="B318" s="689"/>
      <c r="C318" s="666"/>
      <c r="D318" s="666"/>
      <c r="E318" s="666"/>
      <c r="F318" s="715"/>
      <c r="G318" s="666"/>
      <c r="H318" s="666"/>
      <c r="I318" s="310"/>
      <c r="J318" s="311"/>
      <c r="K318" s="311"/>
      <c r="L318" s="312"/>
      <c r="M318" s="313"/>
      <c r="N318" s="311"/>
      <c r="O318" s="311"/>
      <c r="P318" s="311"/>
      <c r="Q318" s="310"/>
      <c r="R318" s="314"/>
      <c r="S318" s="315"/>
      <c r="T318" s="311"/>
      <c r="U318" s="315"/>
      <c r="V318" s="316"/>
      <c r="W318" s="316"/>
      <c r="X318" s="317"/>
    </row>
    <row r="319" spans="1:24" x14ac:dyDescent="0.3">
      <c r="A319" s="656" t="s">
        <v>297</v>
      </c>
      <c r="B319" s="688" t="s">
        <v>298</v>
      </c>
      <c r="C319" s="665"/>
      <c r="D319" s="665" t="s">
        <v>93</v>
      </c>
      <c r="E319" s="665" t="s">
        <v>40</v>
      </c>
      <c r="F319" s="714">
        <f>1560000/S2</f>
        <v>89914.062905261686</v>
      </c>
      <c r="G319" s="665" t="s">
        <v>94</v>
      </c>
      <c r="H319" s="665" t="s">
        <v>94</v>
      </c>
      <c r="I319" s="6" t="s">
        <v>43</v>
      </c>
      <c r="J319" s="19">
        <v>40471</v>
      </c>
      <c r="K319" s="19">
        <v>40487</v>
      </c>
      <c r="L319" s="7"/>
      <c r="M319" s="9">
        <v>40497</v>
      </c>
      <c r="N319" s="7">
        <v>40527</v>
      </c>
      <c r="O319" s="13">
        <v>40542</v>
      </c>
      <c r="P319" s="4">
        <f>O319+5</f>
        <v>40547</v>
      </c>
      <c r="Q319" s="23" t="s">
        <v>43</v>
      </c>
      <c r="R319" s="14"/>
      <c r="S319" s="13">
        <v>40563</v>
      </c>
      <c r="T319" s="7">
        <v>40570</v>
      </c>
      <c r="U319" s="21"/>
      <c r="V319" s="4">
        <f>T321+195+90</f>
        <v>40996</v>
      </c>
      <c r="W319" s="4">
        <f>V319+365</f>
        <v>41361</v>
      </c>
      <c r="X319" s="12"/>
    </row>
    <row r="320" spans="1:24" x14ac:dyDescent="0.3">
      <c r="A320" s="657"/>
      <c r="B320" s="689"/>
      <c r="C320" s="666"/>
      <c r="D320" s="666"/>
      <c r="E320" s="666"/>
      <c r="F320" s="715"/>
      <c r="G320" s="666"/>
      <c r="H320" s="666"/>
      <c r="I320" s="25" t="s">
        <v>226</v>
      </c>
      <c r="J320" s="19"/>
      <c r="K320" s="19"/>
      <c r="L320" s="7"/>
      <c r="M320" s="9"/>
      <c r="N320" s="7"/>
      <c r="O320" s="13"/>
      <c r="P320" s="7"/>
      <c r="Q320" s="26" t="s">
        <v>226</v>
      </c>
      <c r="R320" s="14"/>
      <c r="S320" s="13"/>
      <c r="T320" s="7"/>
      <c r="U320" s="21"/>
      <c r="V320" s="4">
        <v>41085</v>
      </c>
      <c r="W320" s="4">
        <f>V320+365</f>
        <v>41450</v>
      </c>
      <c r="X320" s="12"/>
    </row>
    <row r="321" spans="1:24" x14ac:dyDescent="0.3">
      <c r="A321" s="657"/>
      <c r="B321" s="689"/>
      <c r="C321" s="666"/>
      <c r="D321" s="666"/>
      <c r="E321" s="666"/>
      <c r="F321" s="715"/>
      <c r="G321" s="666"/>
      <c r="H321" s="666"/>
      <c r="I321" s="6" t="s">
        <v>44</v>
      </c>
      <c r="J321" s="19">
        <v>40570</v>
      </c>
      <c r="K321" s="19">
        <v>40586</v>
      </c>
      <c r="L321" s="11"/>
      <c r="M321" s="15">
        <v>40596</v>
      </c>
      <c r="N321" s="19">
        <v>40623</v>
      </c>
      <c r="O321" s="7">
        <v>40673</v>
      </c>
      <c r="P321" s="158"/>
      <c r="Q321" s="23" t="s">
        <v>44</v>
      </c>
      <c r="R321" s="14">
        <f>779898.84/S2</f>
        <v>44951.200871474757</v>
      </c>
      <c r="S321" s="7">
        <v>40701</v>
      </c>
      <c r="T321" s="4">
        <v>40711</v>
      </c>
      <c r="U321" s="21"/>
      <c r="V321" s="4"/>
      <c r="W321" s="21"/>
      <c r="X321" s="12"/>
    </row>
    <row r="322" spans="1:24" x14ac:dyDescent="0.3">
      <c r="A322" s="657"/>
      <c r="B322" s="689"/>
      <c r="C322" s="666"/>
      <c r="D322" s="666"/>
      <c r="E322" s="666"/>
      <c r="F322" s="715"/>
      <c r="G322" s="666"/>
      <c r="H322" s="666"/>
      <c r="I322" s="310"/>
      <c r="J322" s="311"/>
      <c r="K322" s="311"/>
      <c r="L322" s="312"/>
      <c r="M322" s="313"/>
      <c r="N322" s="311"/>
      <c r="O322" s="311"/>
      <c r="P322" s="311"/>
      <c r="Q322" s="310"/>
      <c r="R322" s="314"/>
      <c r="S322" s="315"/>
      <c r="T322" s="311"/>
      <c r="U322" s="315"/>
      <c r="V322" s="316"/>
      <c r="W322" s="316"/>
      <c r="X322" s="317"/>
    </row>
    <row r="323" spans="1:24" x14ac:dyDescent="0.3">
      <c r="A323" s="656" t="s">
        <v>299</v>
      </c>
      <c r="B323" s="688" t="s">
        <v>300</v>
      </c>
      <c r="C323" s="665"/>
      <c r="D323" s="665" t="s">
        <v>93</v>
      </c>
      <c r="E323" s="665" t="s">
        <v>40</v>
      </c>
      <c r="F323" s="714">
        <f>1560000/S2</f>
        <v>89914.062905261686</v>
      </c>
      <c r="G323" s="665" t="s">
        <v>94</v>
      </c>
      <c r="H323" s="665" t="s">
        <v>94</v>
      </c>
      <c r="I323" s="6" t="s">
        <v>43</v>
      </c>
      <c r="J323" s="19">
        <v>40471</v>
      </c>
      <c r="K323" s="19">
        <v>40487</v>
      </c>
      <c r="L323" s="7"/>
      <c r="M323" s="9">
        <v>40497</v>
      </c>
      <c r="N323" s="7">
        <v>40527</v>
      </c>
      <c r="O323" s="13">
        <v>40542</v>
      </c>
      <c r="P323" s="4">
        <f>O323+5</f>
        <v>40547</v>
      </c>
      <c r="Q323" s="23" t="s">
        <v>43</v>
      </c>
      <c r="R323" s="14"/>
      <c r="S323" s="13">
        <v>40563</v>
      </c>
      <c r="T323" s="7">
        <v>40570</v>
      </c>
      <c r="U323" s="21"/>
      <c r="V323" s="4">
        <f>T325+195</f>
        <v>40919</v>
      </c>
      <c r="W323" s="4">
        <f>V323+365</f>
        <v>41284</v>
      </c>
      <c r="X323" s="12"/>
    </row>
    <row r="324" spans="1:24" x14ac:dyDescent="0.3">
      <c r="A324" s="657"/>
      <c r="B324" s="689"/>
      <c r="C324" s="666"/>
      <c r="D324" s="666"/>
      <c r="E324" s="666"/>
      <c r="F324" s="715"/>
      <c r="G324" s="666"/>
      <c r="H324" s="666"/>
      <c r="I324" s="25" t="s">
        <v>226</v>
      </c>
      <c r="J324" s="19"/>
      <c r="K324" s="19"/>
      <c r="L324" s="7"/>
      <c r="M324" s="9"/>
      <c r="N324" s="7"/>
      <c r="O324" s="13"/>
      <c r="P324" s="7"/>
      <c r="Q324" s="26" t="s">
        <v>226</v>
      </c>
      <c r="R324" s="14"/>
      <c r="S324" s="13"/>
      <c r="T324" s="7"/>
      <c r="U324" s="21"/>
      <c r="V324" s="4">
        <v>41080</v>
      </c>
      <c r="W324" s="4">
        <f>V324+365</f>
        <v>41445</v>
      </c>
      <c r="X324" s="12"/>
    </row>
    <row r="325" spans="1:24" x14ac:dyDescent="0.3">
      <c r="A325" s="657"/>
      <c r="B325" s="689"/>
      <c r="C325" s="666"/>
      <c r="D325" s="666"/>
      <c r="E325" s="666"/>
      <c r="F325" s="715"/>
      <c r="G325" s="666"/>
      <c r="H325" s="666"/>
      <c r="I325" s="6" t="s">
        <v>44</v>
      </c>
      <c r="J325" s="19">
        <v>40570</v>
      </c>
      <c r="K325" s="19">
        <v>40586</v>
      </c>
      <c r="L325" s="11"/>
      <c r="M325" s="15">
        <v>40596</v>
      </c>
      <c r="N325" s="19">
        <v>40623</v>
      </c>
      <c r="O325" s="7">
        <v>40673</v>
      </c>
      <c r="P325" s="158"/>
      <c r="Q325" s="23" t="s">
        <v>44</v>
      </c>
      <c r="R325" s="14">
        <f>1554683.28/S2</f>
        <v>89607.621945947802</v>
      </c>
      <c r="S325" s="7">
        <v>40701</v>
      </c>
      <c r="T325" s="4">
        <v>40724</v>
      </c>
      <c r="U325" s="21"/>
      <c r="V325" s="4"/>
      <c r="W325" s="21"/>
      <c r="X325" s="12"/>
    </row>
    <row r="326" spans="1:24" x14ac:dyDescent="0.3">
      <c r="A326" s="657"/>
      <c r="B326" s="689"/>
      <c r="C326" s="666"/>
      <c r="D326" s="666"/>
      <c r="E326" s="666"/>
      <c r="F326" s="715"/>
      <c r="G326" s="666"/>
      <c r="H326" s="666"/>
      <c r="I326" s="310"/>
      <c r="J326" s="311"/>
      <c r="K326" s="311"/>
      <c r="L326" s="312"/>
      <c r="M326" s="313"/>
      <c r="N326" s="311"/>
      <c r="O326" s="311"/>
      <c r="P326" s="311"/>
      <c r="Q326" s="310"/>
      <c r="R326" s="314"/>
      <c r="S326" s="315"/>
      <c r="T326" s="311"/>
      <c r="U326" s="315"/>
      <c r="V326" s="316"/>
      <c r="W326" s="316"/>
      <c r="X326" s="317"/>
    </row>
    <row r="327" spans="1:24" x14ac:dyDescent="0.3">
      <c r="A327" s="656" t="s">
        <v>301</v>
      </c>
      <c r="B327" s="688" t="s">
        <v>302</v>
      </c>
      <c r="C327" s="665"/>
      <c r="D327" s="665" t="s">
        <v>93</v>
      </c>
      <c r="E327" s="665" t="s">
        <v>40</v>
      </c>
      <c r="F327" s="714">
        <f>1560000/S2</f>
        <v>89914.062905261686</v>
      </c>
      <c r="G327" s="665" t="s">
        <v>94</v>
      </c>
      <c r="H327" s="665" t="s">
        <v>94</v>
      </c>
      <c r="I327" s="6" t="s">
        <v>43</v>
      </c>
      <c r="J327" s="19">
        <v>40471</v>
      </c>
      <c r="K327" s="19">
        <v>40487</v>
      </c>
      <c r="L327" s="7"/>
      <c r="M327" s="9">
        <v>40497</v>
      </c>
      <c r="N327" s="7">
        <v>40527</v>
      </c>
      <c r="O327" s="13">
        <v>40542</v>
      </c>
      <c r="P327" s="4">
        <f>O327+5</f>
        <v>40547</v>
      </c>
      <c r="Q327" s="23" t="s">
        <v>43</v>
      </c>
      <c r="R327" s="14"/>
      <c r="S327" s="13">
        <v>40563</v>
      </c>
      <c r="T327" s="7">
        <v>40570</v>
      </c>
      <c r="U327" s="21"/>
      <c r="V327" s="4">
        <f>T329+195</f>
        <v>40905</v>
      </c>
      <c r="W327" s="4">
        <f>V327+365</f>
        <v>41270</v>
      </c>
      <c r="X327" s="12"/>
    </row>
    <row r="328" spans="1:24" x14ac:dyDescent="0.3">
      <c r="A328" s="657"/>
      <c r="B328" s="689"/>
      <c r="C328" s="666"/>
      <c r="D328" s="666"/>
      <c r="E328" s="666"/>
      <c r="F328" s="715"/>
      <c r="G328" s="666"/>
      <c r="H328" s="666"/>
      <c r="I328" s="25" t="s">
        <v>226</v>
      </c>
      <c r="J328" s="19"/>
      <c r="K328" s="19"/>
      <c r="L328" s="7"/>
      <c r="M328" s="9"/>
      <c r="N328" s="7"/>
      <c r="O328" s="13"/>
      <c r="P328" s="7"/>
      <c r="Q328" s="26" t="s">
        <v>226</v>
      </c>
      <c r="R328" s="14"/>
      <c r="S328" s="13"/>
      <c r="T328" s="7"/>
      <c r="U328" s="21"/>
      <c r="V328" s="4">
        <v>41080</v>
      </c>
      <c r="W328" s="4">
        <f>V328+365</f>
        <v>41445</v>
      </c>
      <c r="X328" s="12"/>
    </row>
    <row r="329" spans="1:24" x14ac:dyDescent="0.3">
      <c r="A329" s="657"/>
      <c r="B329" s="689"/>
      <c r="C329" s="666"/>
      <c r="D329" s="666"/>
      <c r="E329" s="666"/>
      <c r="F329" s="715"/>
      <c r="G329" s="666"/>
      <c r="H329" s="666"/>
      <c r="I329" s="6" t="s">
        <v>44</v>
      </c>
      <c r="J329" s="19">
        <v>40570</v>
      </c>
      <c r="K329" s="19">
        <v>40586</v>
      </c>
      <c r="L329" s="11"/>
      <c r="M329" s="15">
        <v>40596</v>
      </c>
      <c r="N329" s="19">
        <v>40623</v>
      </c>
      <c r="O329" s="7">
        <v>40673</v>
      </c>
      <c r="P329" s="158"/>
      <c r="Q329" s="23" t="s">
        <v>44</v>
      </c>
      <c r="R329" s="14">
        <f>1853399.54/S2</f>
        <v>106824.79668470711</v>
      </c>
      <c r="S329" s="7">
        <v>40701</v>
      </c>
      <c r="T329" s="7">
        <v>40710</v>
      </c>
      <c r="U329" s="21"/>
      <c r="V329" s="4"/>
      <c r="W329" s="21"/>
      <c r="X329" s="12"/>
    </row>
    <row r="330" spans="1:24" x14ac:dyDescent="0.3">
      <c r="A330" s="657"/>
      <c r="B330" s="689"/>
      <c r="C330" s="666"/>
      <c r="D330" s="666"/>
      <c r="E330" s="666"/>
      <c r="F330" s="715"/>
      <c r="G330" s="666"/>
      <c r="H330" s="666"/>
      <c r="I330" s="310"/>
      <c r="J330" s="311"/>
      <c r="K330" s="311"/>
      <c r="L330" s="312"/>
      <c r="M330" s="313"/>
      <c r="N330" s="311"/>
      <c r="O330" s="311"/>
      <c r="P330" s="311"/>
      <c r="Q330" s="310"/>
      <c r="R330" s="314"/>
      <c r="S330" s="315"/>
      <c r="T330" s="311"/>
      <c r="U330" s="315"/>
      <c r="V330" s="316"/>
      <c r="W330" s="316"/>
      <c r="X330" s="317"/>
    </row>
    <row r="331" spans="1:24" x14ac:dyDescent="0.3">
      <c r="A331" s="656" t="s">
        <v>303</v>
      </c>
      <c r="B331" s="688" t="s">
        <v>304</v>
      </c>
      <c r="C331" s="665"/>
      <c r="D331" s="665" t="s">
        <v>93</v>
      </c>
      <c r="E331" s="665" t="s">
        <v>40</v>
      </c>
      <c r="F331" s="714">
        <f>1560000/S2</f>
        <v>89914.062905261686</v>
      </c>
      <c r="G331" s="665" t="s">
        <v>94</v>
      </c>
      <c r="H331" s="665" t="s">
        <v>94</v>
      </c>
      <c r="I331" s="6" t="s">
        <v>43</v>
      </c>
      <c r="J331" s="19">
        <v>40471</v>
      </c>
      <c r="K331" s="19">
        <v>40487</v>
      </c>
      <c r="L331" s="7"/>
      <c r="M331" s="9">
        <v>40497</v>
      </c>
      <c r="N331" s="7">
        <v>40527</v>
      </c>
      <c r="O331" s="13">
        <v>40542</v>
      </c>
      <c r="P331" s="4">
        <f>O331+5</f>
        <v>40547</v>
      </c>
      <c r="Q331" s="23" t="s">
        <v>43</v>
      </c>
      <c r="R331" s="14"/>
      <c r="S331" s="13">
        <v>40563</v>
      </c>
      <c r="T331" s="7">
        <v>40754</v>
      </c>
      <c r="U331" s="21"/>
      <c r="V331" s="4">
        <f>T331+195</f>
        <v>40949</v>
      </c>
      <c r="W331" s="4">
        <f>V331+365</f>
        <v>41314</v>
      </c>
      <c r="X331" s="12"/>
    </row>
    <row r="332" spans="1:24" x14ac:dyDescent="0.3">
      <c r="A332" s="657"/>
      <c r="B332" s="689"/>
      <c r="C332" s="666"/>
      <c r="D332" s="666"/>
      <c r="E332" s="666"/>
      <c r="F332" s="715"/>
      <c r="G332" s="666"/>
      <c r="H332" s="666"/>
      <c r="I332" s="25" t="s">
        <v>226</v>
      </c>
      <c r="J332" s="19"/>
      <c r="K332" s="19"/>
      <c r="L332" s="7"/>
      <c r="M332" s="9"/>
      <c r="N332" s="7"/>
      <c r="O332" s="13"/>
      <c r="P332" s="7"/>
      <c r="Q332" s="26" t="s">
        <v>226</v>
      </c>
      <c r="R332" s="14"/>
      <c r="S332" s="13"/>
      <c r="T332" s="7"/>
      <c r="U332" s="21"/>
      <c r="V332" s="4">
        <v>41080</v>
      </c>
      <c r="W332" s="4">
        <f>V332+365</f>
        <v>41445</v>
      </c>
      <c r="X332" s="12"/>
    </row>
    <row r="333" spans="1:24" x14ac:dyDescent="0.3">
      <c r="A333" s="657"/>
      <c r="B333" s="689"/>
      <c r="C333" s="666"/>
      <c r="D333" s="666"/>
      <c r="E333" s="666"/>
      <c r="F333" s="715"/>
      <c r="G333" s="666"/>
      <c r="H333" s="666"/>
      <c r="I333" s="6" t="s">
        <v>44</v>
      </c>
      <c r="J333" s="19">
        <v>40570</v>
      </c>
      <c r="K333" s="19">
        <v>40586</v>
      </c>
      <c r="L333" s="11"/>
      <c r="M333" s="15">
        <v>40596</v>
      </c>
      <c r="N333" s="19">
        <v>40623</v>
      </c>
      <c r="O333" s="7">
        <v>40673</v>
      </c>
      <c r="P333" s="158"/>
      <c r="Q333" s="23" t="s">
        <v>44</v>
      </c>
      <c r="R333" s="14">
        <f>983051.4/S2</f>
        <v>56660.34962737537</v>
      </c>
      <c r="S333" s="7">
        <v>40701</v>
      </c>
      <c r="T333" s="7">
        <v>40732</v>
      </c>
      <c r="U333" s="21"/>
      <c r="V333" s="4"/>
      <c r="W333" s="21"/>
      <c r="X333" s="12"/>
    </row>
    <row r="334" spans="1:24" x14ac:dyDescent="0.3">
      <c r="A334" s="657"/>
      <c r="B334" s="689"/>
      <c r="C334" s="666"/>
      <c r="D334" s="666"/>
      <c r="E334" s="666"/>
      <c r="F334" s="715"/>
      <c r="G334" s="666"/>
      <c r="H334" s="666"/>
      <c r="I334" s="310"/>
      <c r="J334" s="311"/>
      <c r="K334" s="311"/>
      <c r="L334" s="312"/>
      <c r="M334" s="313"/>
      <c r="N334" s="311"/>
      <c r="O334" s="311"/>
      <c r="P334" s="311"/>
      <c r="Q334" s="310"/>
      <c r="R334" s="314"/>
      <c r="S334" s="315"/>
      <c r="T334" s="311"/>
      <c r="U334" s="315"/>
      <c r="V334" s="316"/>
      <c r="W334" s="316"/>
      <c r="X334" s="317"/>
    </row>
    <row r="335" spans="1:24" x14ac:dyDescent="0.3">
      <c r="A335" s="656" t="s">
        <v>305</v>
      </c>
      <c r="B335" s="688" t="s">
        <v>306</v>
      </c>
      <c r="C335" s="665"/>
      <c r="D335" s="665" t="s">
        <v>93</v>
      </c>
      <c r="E335" s="665" t="s">
        <v>40</v>
      </c>
      <c r="F335" s="714">
        <f>1560000/S2</f>
        <v>89914.062905261686</v>
      </c>
      <c r="G335" s="665" t="s">
        <v>94</v>
      </c>
      <c r="H335" s="665" t="s">
        <v>94</v>
      </c>
      <c r="I335" s="6" t="s">
        <v>43</v>
      </c>
      <c r="J335" s="19">
        <v>40471</v>
      </c>
      <c r="K335" s="19">
        <v>40487</v>
      </c>
      <c r="L335" s="7"/>
      <c r="M335" s="9">
        <v>40497</v>
      </c>
      <c r="N335" s="7">
        <v>40527</v>
      </c>
      <c r="O335" s="13">
        <v>40542</v>
      </c>
      <c r="P335" s="29">
        <v>40558</v>
      </c>
      <c r="Q335" s="23" t="s">
        <v>43</v>
      </c>
      <c r="R335" s="14"/>
      <c r="S335" s="13">
        <v>40563</v>
      </c>
      <c r="T335" s="7">
        <v>40754</v>
      </c>
      <c r="U335" s="21"/>
      <c r="V335" s="4">
        <f>T335+195</f>
        <v>40949</v>
      </c>
      <c r="W335" s="4">
        <f>V335+365</f>
        <v>41314</v>
      </c>
      <c r="X335" s="12"/>
    </row>
    <row r="336" spans="1:24" x14ac:dyDescent="0.3">
      <c r="A336" s="657"/>
      <c r="B336" s="689"/>
      <c r="C336" s="666"/>
      <c r="D336" s="666"/>
      <c r="E336" s="666"/>
      <c r="F336" s="715"/>
      <c r="G336" s="666"/>
      <c r="H336" s="666"/>
      <c r="I336" s="25" t="s">
        <v>226</v>
      </c>
      <c r="J336" s="19"/>
      <c r="K336" s="19"/>
      <c r="L336" s="7"/>
      <c r="M336" s="9"/>
      <c r="N336" s="7"/>
      <c r="O336" s="13"/>
      <c r="P336" s="7"/>
      <c r="Q336" s="26" t="s">
        <v>226</v>
      </c>
      <c r="R336" s="14"/>
      <c r="S336" s="13"/>
      <c r="T336" s="7"/>
      <c r="U336" s="21"/>
      <c r="V336" s="4">
        <v>41080</v>
      </c>
      <c r="W336" s="4">
        <f>V336+365</f>
        <v>41445</v>
      </c>
      <c r="X336" s="12"/>
    </row>
    <row r="337" spans="1:24" x14ac:dyDescent="0.3">
      <c r="A337" s="657"/>
      <c r="B337" s="689"/>
      <c r="C337" s="666"/>
      <c r="D337" s="666"/>
      <c r="E337" s="666"/>
      <c r="F337" s="715"/>
      <c r="G337" s="666"/>
      <c r="H337" s="666"/>
      <c r="I337" s="6" t="s">
        <v>44</v>
      </c>
      <c r="J337" s="19">
        <v>40570</v>
      </c>
      <c r="K337" s="19">
        <v>40586</v>
      </c>
      <c r="L337" s="11"/>
      <c r="M337" s="15">
        <v>40596</v>
      </c>
      <c r="N337" s="19">
        <v>40623</v>
      </c>
      <c r="O337" s="7">
        <v>40673</v>
      </c>
      <c r="P337" s="158"/>
      <c r="Q337" s="23" t="s">
        <v>44</v>
      </c>
      <c r="R337" s="14">
        <f>877853.19/S2</f>
        <v>50597.017273874771</v>
      </c>
      <c r="S337" s="7">
        <v>40701</v>
      </c>
      <c r="T337" s="4">
        <v>40738</v>
      </c>
      <c r="U337" s="21"/>
      <c r="V337" s="21"/>
      <c r="W337" s="21"/>
      <c r="X337" s="12"/>
    </row>
    <row r="338" spans="1:24" x14ac:dyDescent="0.3">
      <c r="A338" s="657"/>
      <c r="B338" s="689"/>
      <c r="C338" s="666"/>
      <c r="D338" s="666"/>
      <c r="E338" s="666"/>
      <c r="F338" s="715"/>
      <c r="G338" s="666"/>
      <c r="H338" s="666"/>
      <c r="I338" s="310"/>
      <c r="J338" s="311"/>
      <c r="K338" s="311"/>
      <c r="L338" s="312"/>
      <c r="M338" s="313"/>
      <c r="N338" s="311"/>
      <c r="O338" s="311"/>
      <c r="P338" s="311"/>
      <c r="Q338" s="310"/>
      <c r="R338" s="314"/>
      <c r="S338" s="315"/>
      <c r="T338" s="311"/>
      <c r="U338" s="315"/>
      <c r="V338" s="316"/>
      <c r="W338" s="316"/>
      <c r="X338" s="317"/>
    </row>
    <row r="339" spans="1:24" x14ac:dyDescent="0.3">
      <c r="A339" s="656" t="s">
        <v>307</v>
      </c>
      <c r="B339" s="688" t="s">
        <v>308</v>
      </c>
      <c r="C339" s="665"/>
      <c r="D339" s="665" t="s">
        <v>93</v>
      </c>
      <c r="E339" s="665" t="s">
        <v>40</v>
      </c>
      <c r="F339" s="714">
        <f>1560000/S2</f>
        <v>89914.062905261686</v>
      </c>
      <c r="G339" s="665" t="s">
        <v>94</v>
      </c>
      <c r="H339" s="665" t="s">
        <v>94</v>
      </c>
      <c r="I339" s="6" t="s">
        <v>43</v>
      </c>
      <c r="J339" s="19">
        <v>40471</v>
      </c>
      <c r="K339" s="19">
        <v>40487</v>
      </c>
      <c r="L339" s="7"/>
      <c r="M339" s="9">
        <v>40497</v>
      </c>
      <c r="N339" s="7">
        <v>40527</v>
      </c>
      <c r="O339" s="13">
        <v>40542</v>
      </c>
      <c r="P339" s="29">
        <v>40558</v>
      </c>
      <c r="Q339" s="23" t="s">
        <v>43</v>
      </c>
      <c r="R339" s="14"/>
      <c r="S339" s="13">
        <v>40563</v>
      </c>
      <c r="T339" s="7">
        <v>40570</v>
      </c>
      <c r="U339" s="21"/>
      <c r="V339" s="4">
        <f>T341+195</f>
        <v>40910</v>
      </c>
      <c r="W339" s="4">
        <f>V339+365</f>
        <v>41275</v>
      </c>
      <c r="X339" s="12"/>
    </row>
    <row r="340" spans="1:24" x14ac:dyDescent="0.3">
      <c r="A340" s="657"/>
      <c r="B340" s="689"/>
      <c r="C340" s="666"/>
      <c r="D340" s="666"/>
      <c r="E340" s="666"/>
      <c r="F340" s="715"/>
      <c r="G340" s="666"/>
      <c r="H340" s="666"/>
      <c r="I340" s="25" t="s">
        <v>226</v>
      </c>
      <c r="J340" s="19"/>
      <c r="K340" s="19"/>
      <c r="L340" s="7"/>
      <c r="M340" s="9"/>
      <c r="N340" s="7"/>
      <c r="O340" s="13"/>
      <c r="P340" s="7"/>
      <c r="Q340" s="26" t="s">
        <v>226</v>
      </c>
      <c r="R340" s="14"/>
      <c r="S340" s="13"/>
      <c r="T340" s="7"/>
      <c r="U340" s="21"/>
      <c r="V340" s="4">
        <v>41080</v>
      </c>
      <c r="W340" s="4">
        <f>V340+365</f>
        <v>41445</v>
      </c>
      <c r="X340" s="12"/>
    </row>
    <row r="341" spans="1:24" ht="13.5" customHeight="1" x14ac:dyDescent="0.3">
      <c r="A341" s="657"/>
      <c r="B341" s="689"/>
      <c r="C341" s="666"/>
      <c r="D341" s="666"/>
      <c r="E341" s="666"/>
      <c r="F341" s="715"/>
      <c r="G341" s="666"/>
      <c r="H341" s="666"/>
      <c r="I341" s="6" t="s">
        <v>44</v>
      </c>
      <c r="J341" s="19">
        <v>40570</v>
      </c>
      <c r="K341" s="19">
        <v>40586</v>
      </c>
      <c r="L341" s="11"/>
      <c r="M341" s="15">
        <v>40596</v>
      </c>
      <c r="N341" s="19">
        <v>40623</v>
      </c>
      <c r="O341" s="7">
        <v>40673</v>
      </c>
      <c r="P341" s="158"/>
      <c r="Q341" s="23" t="s">
        <v>44</v>
      </c>
      <c r="R341" s="14">
        <f>2271101.02/S2</f>
        <v>130899.94870287436</v>
      </c>
      <c r="S341" s="7">
        <v>40701</v>
      </c>
      <c r="T341" s="7">
        <v>40715</v>
      </c>
      <c r="U341" s="21"/>
      <c r="V341" s="4"/>
      <c r="W341" s="21"/>
      <c r="X341" s="12"/>
    </row>
    <row r="342" spans="1:24" x14ac:dyDescent="0.3">
      <c r="A342" s="657"/>
      <c r="B342" s="689"/>
      <c r="C342" s="666"/>
      <c r="D342" s="666"/>
      <c r="E342" s="666"/>
      <c r="F342" s="715"/>
      <c r="G342" s="666"/>
      <c r="H342" s="666"/>
      <c r="I342" s="310"/>
      <c r="J342" s="311"/>
      <c r="K342" s="311"/>
      <c r="L342" s="312"/>
      <c r="M342" s="313"/>
      <c r="N342" s="311"/>
      <c r="O342" s="311"/>
      <c r="P342" s="311"/>
      <c r="Q342" s="310"/>
      <c r="R342" s="314"/>
      <c r="S342" s="315"/>
      <c r="T342" s="311"/>
      <c r="U342" s="315"/>
      <c r="V342" s="316"/>
      <c r="W342" s="316"/>
      <c r="X342" s="317"/>
    </row>
    <row r="343" spans="1:24" x14ac:dyDescent="0.3">
      <c r="A343" s="656" t="s">
        <v>309</v>
      </c>
      <c r="B343" s="688" t="s">
        <v>310</v>
      </c>
      <c r="C343" s="665"/>
      <c r="D343" s="665" t="s">
        <v>93</v>
      </c>
      <c r="E343" s="665" t="s">
        <v>40</v>
      </c>
      <c r="F343" s="714">
        <f>1485000/S2</f>
        <v>85591.271419431811</v>
      </c>
      <c r="G343" s="665" t="s">
        <v>94</v>
      </c>
      <c r="H343" s="665" t="s">
        <v>94</v>
      </c>
      <c r="I343" s="6" t="s">
        <v>43</v>
      </c>
      <c r="J343" s="19">
        <v>40410</v>
      </c>
      <c r="K343" s="19">
        <v>40426</v>
      </c>
      <c r="L343" s="7"/>
      <c r="M343" s="9">
        <v>40436</v>
      </c>
      <c r="N343" s="7">
        <v>40466</v>
      </c>
      <c r="O343" s="13">
        <v>40481</v>
      </c>
      <c r="P343" s="29">
        <v>40862</v>
      </c>
      <c r="Q343" s="23" t="s">
        <v>43</v>
      </c>
      <c r="R343" s="14"/>
      <c r="S343" s="13">
        <v>40502</v>
      </c>
      <c r="T343" s="7">
        <v>40509</v>
      </c>
      <c r="U343" s="21"/>
      <c r="V343" s="4">
        <v>40690</v>
      </c>
      <c r="W343" s="4">
        <f>V343+365</f>
        <v>41055</v>
      </c>
      <c r="X343" s="12"/>
    </row>
    <row r="344" spans="1:24" x14ac:dyDescent="0.3">
      <c r="A344" s="657"/>
      <c r="B344" s="689"/>
      <c r="C344" s="666"/>
      <c r="D344" s="666"/>
      <c r="E344" s="666"/>
      <c r="F344" s="715"/>
      <c r="G344" s="666"/>
      <c r="H344" s="666"/>
      <c r="I344" s="25" t="s">
        <v>226</v>
      </c>
      <c r="J344" s="19"/>
      <c r="K344" s="19"/>
      <c r="L344" s="7"/>
      <c r="M344" s="9"/>
      <c r="N344" s="7"/>
      <c r="O344" s="13"/>
      <c r="P344" s="7"/>
      <c r="Q344" s="26" t="s">
        <v>226</v>
      </c>
      <c r="R344" s="14"/>
      <c r="S344" s="13"/>
      <c r="T344" s="7"/>
      <c r="U344" s="21"/>
      <c r="V344" s="4">
        <v>41019</v>
      </c>
      <c r="W344" s="4">
        <f>V344+365</f>
        <v>41384</v>
      </c>
      <c r="X344" s="12"/>
    </row>
    <row r="345" spans="1:24" x14ac:dyDescent="0.3">
      <c r="A345" s="657"/>
      <c r="B345" s="689"/>
      <c r="C345" s="666"/>
      <c r="D345" s="666"/>
      <c r="E345" s="666"/>
      <c r="F345" s="715"/>
      <c r="G345" s="666"/>
      <c r="H345" s="666"/>
      <c r="I345" s="6" t="s">
        <v>44</v>
      </c>
      <c r="J345" s="19">
        <v>40570</v>
      </c>
      <c r="K345" s="19">
        <v>40586</v>
      </c>
      <c r="L345" s="11"/>
      <c r="M345" s="15">
        <v>40596</v>
      </c>
      <c r="N345" s="19">
        <v>40623</v>
      </c>
      <c r="O345" s="7">
        <v>40673</v>
      </c>
      <c r="P345" s="158"/>
      <c r="Q345" s="23" t="s">
        <v>44</v>
      </c>
      <c r="R345" s="14">
        <f>1508249.09/S2</f>
        <v>86931.284330169045</v>
      </c>
      <c r="S345" s="7">
        <v>40701</v>
      </c>
      <c r="T345" s="4">
        <v>40753</v>
      </c>
      <c r="U345" s="21"/>
      <c r="V345" s="4"/>
      <c r="W345" s="21"/>
      <c r="X345" s="12"/>
    </row>
    <row r="346" spans="1:24" x14ac:dyDescent="0.3">
      <c r="A346" s="657"/>
      <c r="B346" s="689"/>
      <c r="C346" s="666"/>
      <c r="D346" s="666"/>
      <c r="E346" s="666"/>
      <c r="F346" s="715"/>
      <c r="G346" s="666"/>
      <c r="H346" s="666"/>
      <c r="I346" s="310"/>
      <c r="J346" s="311"/>
      <c r="K346" s="311"/>
      <c r="L346" s="312"/>
      <c r="M346" s="313"/>
      <c r="N346" s="311"/>
      <c r="O346" s="311"/>
      <c r="P346" s="311"/>
      <c r="Q346" s="310"/>
      <c r="R346" s="314"/>
      <c r="S346" s="315"/>
      <c r="T346" s="311"/>
      <c r="U346" s="315"/>
      <c r="V346" s="316"/>
      <c r="W346" s="316"/>
      <c r="X346" s="317"/>
    </row>
    <row r="347" spans="1:24" x14ac:dyDescent="0.3">
      <c r="A347" s="656" t="s">
        <v>311</v>
      </c>
      <c r="B347" s="688" t="s">
        <v>312</v>
      </c>
      <c r="C347" s="665"/>
      <c r="D347" s="665" t="s">
        <v>93</v>
      </c>
      <c r="E347" s="665" t="s">
        <v>40</v>
      </c>
      <c r="F347" s="714">
        <f>(760000*3)/S2</f>
        <v>131412.86116922862</v>
      </c>
      <c r="G347" s="665" t="s">
        <v>94</v>
      </c>
      <c r="H347" s="665" t="s">
        <v>94</v>
      </c>
      <c r="I347" s="6" t="s">
        <v>43</v>
      </c>
      <c r="J347" s="19">
        <v>40471</v>
      </c>
      <c r="K347" s="19">
        <v>40487</v>
      </c>
      <c r="L347" s="7"/>
      <c r="M347" s="9">
        <v>40497</v>
      </c>
      <c r="N347" s="7">
        <v>40527</v>
      </c>
      <c r="O347" s="13">
        <v>40542</v>
      </c>
      <c r="P347" s="29">
        <v>40558</v>
      </c>
      <c r="Q347" s="23" t="s">
        <v>43</v>
      </c>
      <c r="R347" s="14"/>
      <c r="S347" s="13">
        <v>40563</v>
      </c>
      <c r="T347" s="7">
        <v>40570</v>
      </c>
      <c r="U347" s="21"/>
      <c r="V347" s="4">
        <f>T349+195</f>
        <v>40918</v>
      </c>
      <c r="W347" s="4">
        <f>V347+365</f>
        <v>41283</v>
      </c>
      <c r="X347" s="12"/>
    </row>
    <row r="348" spans="1:24" x14ac:dyDescent="0.3">
      <c r="A348" s="657"/>
      <c r="B348" s="689"/>
      <c r="C348" s="666"/>
      <c r="D348" s="666"/>
      <c r="E348" s="666"/>
      <c r="F348" s="715"/>
      <c r="G348" s="666"/>
      <c r="H348" s="666"/>
      <c r="I348" s="25" t="s">
        <v>226</v>
      </c>
      <c r="J348" s="19"/>
      <c r="K348" s="19"/>
      <c r="L348" s="7"/>
      <c r="M348" s="9"/>
      <c r="N348" s="7"/>
      <c r="O348" s="13"/>
      <c r="P348" s="7"/>
      <c r="Q348" s="26" t="s">
        <v>226</v>
      </c>
      <c r="R348" s="14"/>
      <c r="S348" s="13"/>
      <c r="T348" s="7"/>
      <c r="U348" s="21"/>
      <c r="V348" s="4">
        <v>41080</v>
      </c>
      <c r="W348" s="4">
        <f>V348+365</f>
        <v>41445</v>
      </c>
      <c r="X348" s="12"/>
    </row>
    <row r="349" spans="1:24" x14ac:dyDescent="0.3">
      <c r="A349" s="657"/>
      <c r="B349" s="689"/>
      <c r="C349" s="666"/>
      <c r="D349" s="666"/>
      <c r="E349" s="666"/>
      <c r="F349" s="715"/>
      <c r="G349" s="666"/>
      <c r="H349" s="666"/>
      <c r="I349" s="6" t="s">
        <v>44</v>
      </c>
      <c r="J349" s="19">
        <v>40570</v>
      </c>
      <c r="K349" s="19">
        <v>40586</v>
      </c>
      <c r="L349" s="11"/>
      <c r="M349" s="15">
        <v>40596</v>
      </c>
      <c r="N349" s="19">
        <v>40623</v>
      </c>
      <c r="O349" s="7">
        <v>40673</v>
      </c>
      <c r="P349" s="158"/>
      <c r="Q349" s="23" t="s">
        <v>44</v>
      </c>
      <c r="R349" s="14">
        <f>1165809.22/S2</f>
        <v>67194.002270906451</v>
      </c>
      <c r="S349" s="7">
        <v>40701</v>
      </c>
      <c r="T349" s="4">
        <v>40723</v>
      </c>
      <c r="U349" s="21"/>
      <c r="V349" s="4"/>
      <c r="W349" s="21"/>
      <c r="X349" s="12"/>
    </row>
    <row r="350" spans="1:24" x14ac:dyDescent="0.3">
      <c r="A350" s="657"/>
      <c r="B350" s="689"/>
      <c r="C350" s="666"/>
      <c r="D350" s="666"/>
      <c r="E350" s="666"/>
      <c r="F350" s="715"/>
      <c r="G350" s="666"/>
      <c r="H350" s="666"/>
      <c r="I350" s="310"/>
      <c r="J350" s="311"/>
      <c r="K350" s="311"/>
      <c r="L350" s="312"/>
      <c r="M350" s="313"/>
      <c r="N350" s="311"/>
      <c r="O350" s="311"/>
      <c r="P350" s="311"/>
      <c r="Q350" s="310"/>
      <c r="R350" s="314"/>
      <c r="S350" s="315"/>
      <c r="T350" s="311"/>
      <c r="U350" s="315"/>
      <c r="V350" s="316"/>
      <c r="W350" s="316"/>
      <c r="X350" s="317"/>
    </row>
    <row r="351" spans="1:24" x14ac:dyDescent="0.3">
      <c r="A351" s="656" t="s">
        <v>313</v>
      </c>
      <c r="B351" s="688" t="s">
        <v>314</v>
      </c>
      <c r="C351" s="665"/>
      <c r="D351" s="665" t="s">
        <v>93</v>
      </c>
      <c r="E351" s="665" t="s">
        <v>40</v>
      </c>
      <c r="F351" s="714">
        <f>(760000*4)/S2</f>
        <v>175217.14822563817</v>
      </c>
      <c r="G351" s="665" t="s">
        <v>94</v>
      </c>
      <c r="H351" s="665" t="s">
        <v>94</v>
      </c>
      <c r="I351" s="6" t="s">
        <v>43</v>
      </c>
      <c r="J351" s="19">
        <v>40471</v>
      </c>
      <c r="K351" s="19">
        <v>40487</v>
      </c>
      <c r="L351" s="7"/>
      <c r="M351" s="9">
        <v>40497</v>
      </c>
      <c r="N351" s="7">
        <v>40527</v>
      </c>
      <c r="O351" s="13">
        <v>40542</v>
      </c>
      <c r="P351" s="29">
        <v>40558</v>
      </c>
      <c r="Q351" s="23" t="s">
        <v>43</v>
      </c>
      <c r="R351" s="14"/>
      <c r="S351" s="13">
        <v>40563</v>
      </c>
      <c r="T351" s="7">
        <v>40570</v>
      </c>
      <c r="U351" s="21"/>
      <c r="V351" s="4">
        <f>T353+195</f>
        <v>40924</v>
      </c>
      <c r="W351" s="4">
        <f>V351+365</f>
        <v>41289</v>
      </c>
      <c r="X351" s="12"/>
    </row>
    <row r="352" spans="1:24" x14ac:dyDescent="0.3">
      <c r="A352" s="657"/>
      <c r="B352" s="689"/>
      <c r="C352" s="666"/>
      <c r="D352" s="666"/>
      <c r="E352" s="666"/>
      <c r="F352" s="715"/>
      <c r="G352" s="666"/>
      <c r="H352" s="666"/>
      <c r="I352" s="25" t="s">
        <v>226</v>
      </c>
      <c r="J352" s="19"/>
      <c r="K352" s="19"/>
      <c r="L352" s="7"/>
      <c r="M352" s="9"/>
      <c r="N352" s="7"/>
      <c r="O352" s="13"/>
      <c r="P352" s="7"/>
      <c r="Q352" s="26" t="s">
        <v>226</v>
      </c>
      <c r="R352" s="14"/>
      <c r="S352" s="13"/>
      <c r="T352" s="7"/>
      <c r="U352" s="21"/>
      <c r="V352" s="4">
        <v>41080</v>
      </c>
      <c r="W352" s="4">
        <f>V352+365</f>
        <v>41445</v>
      </c>
      <c r="X352" s="12"/>
    </row>
    <row r="353" spans="1:24" ht="13.5" customHeight="1" x14ac:dyDescent="0.3">
      <c r="A353" s="657"/>
      <c r="B353" s="689"/>
      <c r="C353" s="666"/>
      <c r="D353" s="666"/>
      <c r="E353" s="666"/>
      <c r="F353" s="715"/>
      <c r="G353" s="666"/>
      <c r="H353" s="666"/>
      <c r="I353" s="6" t="s">
        <v>44</v>
      </c>
      <c r="J353" s="19">
        <v>40570</v>
      </c>
      <c r="K353" s="19">
        <v>40586</v>
      </c>
      <c r="L353" s="11"/>
      <c r="M353" s="15">
        <v>40596</v>
      </c>
      <c r="N353" s="19">
        <v>40623</v>
      </c>
      <c r="O353" s="7">
        <v>40673</v>
      </c>
      <c r="P353" s="158"/>
      <c r="Q353" s="23" t="s">
        <v>44</v>
      </c>
      <c r="R353" s="14">
        <f>1172618.89/S2</f>
        <v>67586.492717537258</v>
      </c>
      <c r="S353" s="7">
        <v>40701</v>
      </c>
      <c r="T353" s="4">
        <v>40729</v>
      </c>
      <c r="U353" s="21"/>
      <c r="V353" s="4"/>
      <c r="W353" s="21"/>
      <c r="X353" s="12"/>
    </row>
    <row r="354" spans="1:24" x14ac:dyDescent="0.3">
      <c r="A354" s="657"/>
      <c r="B354" s="689"/>
      <c r="C354" s="666"/>
      <c r="D354" s="666"/>
      <c r="E354" s="666"/>
      <c r="F354" s="715"/>
      <c r="G354" s="666"/>
      <c r="H354" s="666"/>
      <c r="I354" s="310"/>
      <c r="J354" s="311"/>
      <c r="K354" s="311"/>
      <c r="L354" s="312"/>
      <c r="M354" s="313"/>
      <c r="N354" s="311"/>
      <c r="O354" s="311"/>
      <c r="P354" s="311"/>
      <c r="Q354" s="310"/>
      <c r="R354" s="314"/>
      <c r="S354" s="315"/>
      <c r="T354" s="311"/>
      <c r="U354" s="315"/>
      <c r="V354" s="316"/>
      <c r="W354" s="316"/>
      <c r="X354" s="317"/>
    </row>
    <row r="355" spans="1:24" x14ac:dyDescent="0.3">
      <c r="A355" s="656" t="s">
        <v>315</v>
      </c>
      <c r="B355" s="688" t="s">
        <v>314</v>
      </c>
      <c r="C355" s="665"/>
      <c r="D355" s="665" t="s">
        <v>93</v>
      </c>
      <c r="E355" s="665" t="s">
        <v>40</v>
      </c>
      <c r="F355" s="714">
        <f>(1560000)/S2</f>
        <v>89914.062905261686</v>
      </c>
      <c r="G355" s="665" t="s">
        <v>94</v>
      </c>
      <c r="H355" s="665" t="s">
        <v>94</v>
      </c>
      <c r="I355" s="6" t="s">
        <v>43</v>
      </c>
      <c r="J355" s="19">
        <v>40471</v>
      </c>
      <c r="K355" s="19">
        <v>40487</v>
      </c>
      <c r="L355" s="7"/>
      <c r="M355" s="9">
        <v>40497</v>
      </c>
      <c r="N355" s="7">
        <v>40527</v>
      </c>
      <c r="O355" s="13">
        <v>40542</v>
      </c>
      <c r="P355" s="29">
        <v>40558</v>
      </c>
      <c r="Q355" s="23" t="s">
        <v>43</v>
      </c>
      <c r="R355" s="14"/>
      <c r="S355" s="13">
        <v>40563</v>
      </c>
      <c r="T355" s="7">
        <v>40570</v>
      </c>
      <c r="U355" s="21"/>
      <c r="V355" s="4">
        <v>40751</v>
      </c>
      <c r="W355" s="4">
        <f>V355+365</f>
        <v>41116</v>
      </c>
      <c r="X355" s="12"/>
    </row>
    <row r="356" spans="1:24" x14ac:dyDescent="0.3">
      <c r="A356" s="657"/>
      <c r="B356" s="689"/>
      <c r="C356" s="666"/>
      <c r="D356" s="666"/>
      <c r="E356" s="666"/>
      <c r="F356" s="715"/>
      <c r="G356" s="666"/>
      <c r="H356" s="666"/>
      <c r="I356" s="25" t="s">
        <v>226</v>
      </c>
      <c r="J356" s="19"/>
      <c r="K356" s="19"/>
      <c r="L356" s="7"/>
      <c r="M356" s="9"/>
      <c r="N356" s="7"/>
      <c r="O356" s="13"/>
      <c r="P356" s="7"/>
      <c r="Q356" s="26" t="s">
        <v>226</v>
      </c>
      <c r="R356" s="14"/>
      <c r="S356" s="13"/>
      <c r="T356" s="7"/>
      <c r="U356" s="21"/>
      <c r="V356" s="4">
        <v>41080</v>
      </c>
      <c r="W356" s="4">
        <f>V356+365</f>
        <v>41445</v>
      </c>
      <c r="X356" s="12"/>
    </row>
    <row r="357" spans="1:24" x14ac:dyDescent="0.3">
      <c r="A357" s="657"/>
      <c r="B357" s="689"/>
      <c r="C357" s="666"/>
      <c r="D357" s="666"/>
      <c r="E357" s="666"/>
      <c r="F357" s="715"/>
      <c r="G357" s="666"/>
      <c r="H357" s="666"/>
      <c r="I357" s="6" t="s">
        <v>44</v>
      </c>
      <c r="J357" s="19">
        <v>40570</v>
      </c>
      <c r="K357" s="19">
        <v>40586</v>
      </c>
      <c r="L357" s="11"/>
      <c r="M357" s="15">
        <v>40596</v>
      </c>
      <c r="N357" s="19">
        <v>40623</v>
      </c>
      <c r="O357" s="7">
        <v>40673</v>
      </c>
      <c r="P357" s="158"/>
      <c r="Q357" s="23" t="s">
        <v>44</v>
      </c>
      <c r="R357" s="14">
        <f>2403829.25/S2</f>
        <v>138550.03487051796</v>
      </c>
      <c r="S357" s="7">
        <v>40750</v>
      </c>
      <c r="T357" s="7" t="s">
        <v>316</v>
      </c>
      <c r="U357" s="21"/>
      <c r="V357" s="4"/>
      <c r="W357" s="21"/>
      <c r="X357" s="12"/>
    </row>
    <row r="358" spans="1:24" x14ac:dyDescent="0.3">
      <c r="A358" s="657"/>
      <c r="B358" s="689"/>
      <c r="C358" s="666"/>
      <c r="D358" s="666"/>
      <c r="E358" s="666"/>
      <c r="F358" s="715"/>
      <c r="G358" s="666"/>
      <c r="H358" s="666"/>
      <c r="I358" s="310"/>
      <c r="J358" s="311"/>
      <c r="K358" s="311"/>
      <c r="L358" s="312"/>
      <c r="M358" s="313"/>
      <c r="N358" s="311"/>
      <c r="O358" s="311"/>
      <c r="P358" s="311"/>
      <c r="Q358" s="310"/>
      <c r="R358" s="314"/>
      <c r="S358" s="315"/>
      <c r="T358" s="311"/>
      <c r="U358" s="315"/>
      <c r="V358" s="316"/>
      <c r="W358" s="316"/>
      <c r="X358" s="317"/>
    </row>
    <row r="359" spans="1:24" x14ac:dyDescent="0.3">
      <c r="A359" s="656" t="s">
        <v>317</v>
      </c>
      <c r="B359" s="688" t="s">
        <v>318</v>
      </c>
      <c r="C359" s="665"/>
      <c r="D359" s="665" t="s">
        <v>93</v>
      </c>
      <c r="E359" s="665" t="s">
        <v>40</v>
      </c>
      <c r="F359" s="714">
        <f>1560000/S2</f>
        <v>89914.062905261686</v>
      </c>
      <c r="G359" s="665" t="s">
        <v>94</v>
      </c>
      <c r="H359" s="665" t="s">
        <v>94</v>
      </c>
      <c r="I359" s="6" t="s">
        <v>43</v>
      </c>
      <c r="J359" s="19">
        <v>40471</v>
      </c>
      <c r="K359" s="19">
        <v>40487</v>
      </c>
      <c r="L359" s="7"/>
      <c r="M359" s="9">
        <v>40497</v>
      </c>
      <c r="N359" s="7">
        <v>40527</v>
      </c>
      <c r="O359" s="13">
        <v>40542</v>
      </c>
      <c r="P359" s="29">
        <v>40558</v>
      </c>
      <c r="Q359" s="23" t="s">
        <v>43</v>
      </c>
      <c r="R359" s="14"/>
      <c r="S359" s="13">
        <v>40563</v>
      </c>
      <c r="T359" s="7">
        <v>40570</v>
      </c>
      <c r="U359" s="21"/>
      <c r="V359" s="4">
        <f>T361+195</f>
        <v>40911</v>
      </c>
      <c r="W359" s="4">
        <f>V359+365</f>
        <v>41276</v>
      </c>
      <c r="X359" s="12"/>
    </row>
    <row r="360" spans="1:24" x14ac:dyDescent="0.3">
      <c r="A360" s="657"/>
      <c r="B360" s="689"/>
      <c r="C360" s="666"/>
      <c r="D360" s="666"/>
      <c r="E360" s="666"/>
      <c r="F360" s="715"/>
      <c r="G360" s="666"/>
      <c r="H360" s="666"/>
      <c r="I360" s="25" t="s">
        <v>226</v>
      </c>
      <c r="J360" s="19"/>
      <c r="K360" s="19"/>
      <c r="L360" s="7"/>
      <c r="M360" s="9"/>
      <c r="N360" s="7"/>
      <c r="O360" s="13"/>
      <c r="P360" s="7"/>
      <c r="Q360" s="26" t="s">
        <v>226</v>
      </c>
      <c r="R360" s="14"/>
      <c r="S360" s="13"/>
      <c r="T360" s="7"/>
      <c r="U360" s="21"/>
      <c r="V360" s="4">
        <v>41080</v>
      </c>
      <c r="W360" s="4">
        <f>V360+365</f>
        <v>41445</v>
      </c>
      <c r="X360" s="12"/>
    </row>
    <row r="361" spans="1:24" x14ac:dyDescent="0.3">
      <c r="A361" s="657"/>
      <c r="B361" s="689"/>
      <c r="C361" s="666"/>
      <c r="D361" s="666"/>
      <c r="E361" s="666"/>
      <c r="F361" s="715"/>
      <c r="G361" s="666"/>
      <c r="H361" s="666"/>
      <c r="I361" s="6" t="s">
        <v>44</v>
      </c>
      <c r="J361" s="19">
        <v>40570</v>
      </c>
      <c r="K361" s="19">
        <v>40586</v>
      </c>
      <c r="L361" s="11"/>
      <c r="M361" s="15">
        <v>40596</v>
      </c>
      <c r="N361" s="19">
        <v>40623</v>
      </c>
      <c r="O361" s="7">
        <v>40673</v>
      </c>
      <c r="P361" s="158"/>
      <c r="Q361" s="23" t="s">
        <v>44</v>
      </c>
      <c r="R361" s="14">
        <f>656385.96/S2</f>
        <v>37832.261857417041</v>
      </c>
      <c r="S361" s="7">
        <v>40701</v>
      </c>
      <c r="T361" s="7">
        <v>40716</v>
      </c>
      <c r="U361" s="21"/>
      <c r="V361" s="4"/>
      <c r="W361" s="21"/>
      <c r="X361" s="12"/>
    </row>
    <row r="362" spans="1:24" x14ac:dyDescent="0.3">
      <c r="A362" s="657"/>
      <c r="B362" s="689"/>
      <c r="C362" s="666"/>
      <c r="D362" s="666"/>
      <c r="E362" s="666"/>
      <c r="F362" s="715"/>
      <c r="G362" s="666"/>
      <c r="H362" s="666"/>
      <c r="I362" s="310"/>
      <c r="J362" s="311"/>
      <c r="K362" s="311"/>
      <c r="L362" s="312"/>
      <c r="M362" s="313"/>
      <c r="N362" s="311"/>
      <c r="O362" s="311"/>
      <c r="P362" s="311"/>
      <c r="Q362" s="310"/>
      <c r="R362" s="314"/>
      <c r="S362" s="315"/>
      <c r="T362" s="311"/>
      <c r="U362" s="315"/>
      <c r="V362" s="316"/>
      <c r="W362" s="316"/>
      <c r="X362" s="317"/>
    </row>
    <row r="363" spans="1:24" x14ac:dyDescent="0.3">
      <c r="A363" s="656" t="s">
        <v>319</v>
      </c>
      <c r="B363" s="688" t="s">
        <v>320</v>
      </c>
      <c r="C363" s="665"/>
      <c r="D363" s="665" t="s">
        <v>93</v>
      </c>
      <c r="E363" s="665" t="s">
        <v>40</v>
      </c>
      <c r="F363" s="714">
        <f>1560000/S2</f>
        <v>89914.062905261686</v>
      </c>
      <c r="G363" s="665" t="s">
        <v>94</v>
      </c>
      <c r="H363" s="665" t="s">
        <v>94</v>
      </c>
      <c r="I363" s="6" t="s">
        <v>43</v>
      </c>
      <c r="J363" s="19">
        <v>40471</v>
      </c>
      <c r="K363" s="19">
        <v>40487</v>
      </c>
      <c r="L363" s="7"/>
      <c r="M363" s="9">
        <v>40497</v>
      </c>
      <c r="N363" s="7">
        <v>40527</v>
      </c>
      <c r="O363" s="13">
        <v>40542</v>
      </c>
      <c r="P363" s="29">
        <v>40558</v>
      </c>
      <c r="Q363" s="23" t="s">
        <v>43</v>
      </c>
      <c r="R363" s="14"/>
      <c r="S363" s="13">
        <v>40563</v>
      </c>
      <c r="T363" s="7">
        <v>40570</v>
      </c>
      <c r="U363" s="21"/>
      <c r="V363" s="4">
        <v>40751</v>
      </c>
      <c r="W363" s="4">
        <f>V363+365</f>
        <v>41116</v>
      </c>
      <c r="X363" s="12"/>
    </row>
    <row r="364" spans="1:24" x14ac:dyDescent="0.3">
      <c r="A364" s="657"/>
      <c r="B364" s="689"/>
      <c r="C364" s="666"/>
      <c r="D364" s="666"/>
      <c r="E364" s="666"/>
      <c r="F364" s="715"/>
      <c r="G364" s="666"/>
      <c r="H364" s="666"/>
      <c r="I364" s="25" t="s">
        <v>226</v>
      </c>
      <c r="J364" s="19"/>
      <c r="K364" s="19"/>
      <c r="L364" s="7"/>
      <c r="M364" s="9"/>
      <c r="N364" s="7"/>
      <c r="O364" s="13"/>
      <c r="P364" s="7"/>
      <c r="Q364" s="26" t="s">
        <v>226</v>
      </c>
      <c r="R364" s="14"/>
      <c r="S364" s="13"/>
      <c r="T364" s="7"/>
      <c r="U364" s="21"/>
      <c r="V364" s="4">
        <v>41080</v>
      </c>
      <c r="W364" s="4">
        <f>V364+365</f>
        <v>41445</v>
      </c>
      <c r="X364" s="12"/>
    </row>
    <row r="365" spans="1:24" x14ac:dyDescent="0.3">
      <c r="A365" s="657"/>
      <c r="B365" s="689"/>
      <c r="C365" s="666"/>
      <c r="D365" s="666"/>
      <c r="E365" s="666"/>
      <c r="F365" s="715"/>
      <c r="G365" s="666"/>
      <c r="H365" s="666"/>
      <c r="I365" s="6" t="s">
        <v>44</v>
      </c>
      <c r="J365" s="19">
        <v>40570</v>
      </c>
      <c r="K365" s="19">
        <v>40586</v>
      </c>
      <c r="L365" s="11"/>
      <c r="M365" s="15">
        <v>40596</v>
      </c>
      <c r="N365" s="19">
        <v>40623</v>
      </c>
      <c r="O365" s="7">
        <v>40673</v>
      </c>
      <c r="P365" s="158"/>
      <c r="Q365" s="23" t="s">
        <v>44</v>
      </c>
      <c r="R365" s="14">
        <f>1116781.3/S2</f>
        <v>64368.169268987134</v>
      </c>
      <c r="S365" s="7">
        <v>40701</v>
      </c>
      <c r="T365" s="4">
        <v>40738</v>
      </c>
      <c r="U365" s="21"/>
      <c r="V365" s="4"/>
      <c r="W365" s="21"/>
      <c r="X365" s="12"/>
    </row>
    <row r="366" spans="1:24" x14ac:dyDescent="0.3">
      <c r="A366" s="657"/>
      <c r="B366" s="689"/>
      <c r="C366" s="666"/>
      <c r="D366" s="666"/>
      <c r="E366" s="666"/>
      <c r="F366" s="715"/>
      <c r="G366" s="666"/>
      <c r="H366" s="666"/>
      <c r="I366" s="310"/>
      <c r="J366" s="311"/>
      <c r="K366" s="311"/>
      <c r="L366" s="312"/>
      <c r="M366" s="313"/>
      <c r="N366" s="311"/>
      <c r="O366" s="311"/>
      <c r="P366" s="311"/>
      <c r="Q366" s="310"/>
      <c r="R366" s="314"/>
      <c r="S366" s="315"/>
      <c r="T366" s="311"/>
      <c r="U366" s="315"/>
      <c r="V366" s="316"/>
      <c r="W366" s="316"/>
      <c r="X366" s="317"/>
    </row>
    <row r="367" spans="1:24" x14ac:dyDescent="0.3">
      <c r="A367" s="656" t="s">
        <v>321</v>
      </c>
      <c r="B367" s="688" t="s">
        <v>322</v>
      </c>
      <c r="C367" s="665"/>
      <c r="D367" s="665" t="s">
        <v>93</v>
      </c>
      <c r="E367" s="665" t="s">
        <v>40</v>
      </c>
      <c r="F367" s="714">
        <f>1560000/S2</f>
        <v>89914.062905261686</v>
      </c>
      <c r="G367" s="665" t="s">
        <v>94</v>
      </c>
      <c r="H367" s="665" t="s">
        <v>94</v>
      </c>
      <c r="I367" s="6" t="s">
        <v>43</v>
      </c>
      <c r="J367" s="19">
        <v>40471</v>
      </c>
      <c r="K367" s="19">
        <v>40487</v>
      </c>
      <c r="L367" s="7"/>
      <c r="M367" s="9">
        <v>40497</v>
      </c>
      <c r="N367" s="7">
        <v>40527</v>
      </c>
      <c r="O367" s="13">
        <v>40542</v>
      </c>
      <c r="P367" s="29">
        <v>40558</v>
      </c>
      <c r="Q367" s="23" t="s">
        <v>43</v>
      </c>
      <c r="R367" s="14"/>
      <c r="S367" s="13">
        <v>40563</v>
      </c>
      <c r="T367" s="7">
        <v>40570</v>
      </c>
      <c r="U367" s="21"/>
      <c r="V367" s="4">
        <f>T369+195</f>
        <v>40910</v>
      </c>
      <c r="W367" s="4">
        <f>V367+365</f>
        <v>41275</v>
      </c>
      <c r="X367" s="12"/>
    </row>
    <row r="368" spans="1:24" x14ac:dyDescent="0.3">
      <c r="A368" s="657"/>
      <c r="B368" s="689"/>
      <c r="C368" s="666"/>
      <c r="D368" s="666"/>
      <c r="E368" s="666"/>
      <c r="F368" s="715"/>
      <c r="G368" s="666"/>
      <c r="H368" s="666"/>
      <c r="I368" s="25" t="s">
        <v>226</v>
      </c>
      <c r="J368" s="19"/>
      <c r="K368" s="19"/>
      <c r="L368" s="7"/>
      <c r="M368" s="9"/>
      <c r="N368" s="7"/>
      <c r="O368" s="13"/>
      <c r="P368" s="7"/>
      <c r="Q368" s="26" t="s">
        <v>226</v>
      </c>
      <c r="R368" s="14"/>
      <c r="S368" s="13"/>
      <c r="T368" s="7"/>
      <c r="U368" s="21"/>
      <c r="V368" s="4">
        <v>41080</v>
      </c>
      <c r="W368" s="4">
        <f>V368+365</f>
        <v>41445</v>
      </c>
      <c r="X368" s="12"/>
    </row>
    <row r="369" spans="1:24" x14ac:dyDescent="0.3">
      <c r="A369" s="657"/>
      <c r="B369" s="689"/>
      <c r="C369" s="666"/>
      <c r="D369" s="666"/>
      <c r="E369" s="666"/>
      <c r="F369" s="715"/>
      <c r="G369" s="666"/>
      <c r="H369" s="666"/>
      <c r="I369" s="6" t="s">
        <v>44</v>
      </c>
      <c r="J369" s="19">
        <v>40570</v>
      </c>
      <c r="K369" s="19">
        <v>40586</v>
      </c>
      <c r="L369" s="11"/>
      <c r="M369" s="15">
        <v>40596</v>
      </c>
      <c r="N369" s="19">
        <v>40623</v>
      </c>
      <c r="O369" s="7">
        <v>40673</v>
      </c>
      <c r="P369" s="158"/>
      <c r="Q369" s="23" t="s">
        <v>44</v>
      </c>
      <c r="R369" s="14">
        <f>1651441.36/S2</f>
        <v>95184.488671404441</v>
      </c>
      <c r="S369" s="7">
        <v>40701</v>
      </c>
      <c r="T369" s="4">
        <v>40715</v>
      </c>
      <c r="U369" s="21"/>
      <c r="V369" s="21"/>
      <c r="W369" s="21"/>
      <c r="X369" s="12"/>
    </row>
    <row r="370" spans="1:24" x14ac:dyDescent="0.3">
      <c r="A370" s="657"/>
      <c r="B370" s="689"/>
      <c r="C370" s="666"/>
      <c r="D370" s="666"/>
      <c r="E370" s="666"/>
      <c r="F370" s="715"/>
      <c r="G370" s="666"/>
      <c r="H370" s="666"/>
      <c r="I370" s="310"/>
      <c r="J370" s="311"/>
      <c r="K370" s="311"/>
      <c r="L370" s="312"/>
      <c r="M370" s="313"/>
      <c r="N370" s="311"/>
      <c r="O370" s="311"/>
      <c r="P370" s="311"/>
      <c r="Q370" s="310"/>
      <c r="R370" s="314"/>
      <c r="S370" s="315"/>
      <c r="T370" s="311"/>
      <c r="U370" s="315"/>
      <c r="V370" s="316"/>
      <c r="W370" s="316"/>
      <c r="X370" s="317"/>
    </row>
    <row r="371" spans="1:24" x14ac:dyDescent="0.3">
      <c r="A371" s="656" t="s">
        <v>323</v>
      </c>
      <c r="B371" s="688" t="s">
        <v>324</v>
      </c>
      <c r="C371" s="665"/>
      <c r="D371" s="665" t="s">
        <v>93</v>
      </c>
      <c r="E371" s="665" t="s">
        <v>40</v>
      </c>
      <c r="F371" s="714">
        <f>760000*3/S2</f>
        <v>131412.86116922862</v>
      </c>
      <c r="G371" s="665" t="s">
        <v>94</v>
      </c>
      <c r="H371" s="665" t="s">
        <v>94</v>
      </c>
      <c r="I371" s="6" t="s">
        <v>43</v>
      </c>
      <c r="J371" s="19">
        <v>40471</v>
      </c>
      <c r="K371" s="19">
        <v>40487</v>
      </c>
      <c r="L371" s="7"/>
      <c r="M371" s="9">
        <v>40497</v>
      </c>
      <c r="N371" s="7">
        <v>40527</v>
      </c>
      <c r="O371" s="13">
        <v>40542</v>
      </c>
      <c r="P371" s="29">
        <v>40558</v>
      </c>
      <c r="Q371" s="23" t="s">
        <v>43</v>
      </c>
      <c r="R371" s="14"/>
      <c r="S371" s="13">
        <v>40563</v>
      </c>
      <c r="T371" s="7">
        <v>40570</v>
      </c>
      <c r="U371" s="21"/>
      <c r="V371" s="4">
        <f>T373+195</f>
        <v>40919</v>
      </c>
      <c r="W371" s="4">
        <f>V371+365</f>
        <v>41284</v>
      </c>
      <c r="X371" s="12"/>
    </row>
    <row r="372" spans="1:24" x14ac:dyDescent="0.3">
      <c r="A372" s="657"/>
      <c r="B372" s="689"/>
      <c r="C372" s="666"/>
      <c r="D372" s="666"/>
      <c r="E372" s="666"/>
      <c r="F372" s="715"/>
      <c r="G372" s="666"/>
      <c r="H372" s="666"/>
      <c r="I372" s="25" t="s">
        <v>226</v>
      </c>
      <c r="J372" s="19"/>
      <c r="K372" s="19"/>
      <c r="L372" s="7"/>
      <c r="M372" s="9"/>
      <c r="N372" s="7"/>
      <c r="O372" s="13"/>
      <c r="P372" s="7"/>
      <c r="Q372" s="26" t="s">
        <v>226</v>
      </c>
      <c r="R372" s="14"/>
      <c r="S372" s="13"/>
      <c r="T372" s="7"/>
      <c r="U372" s="21"/>
      <c r="V372" s="4">
        <v>41080</v>
      </c>
      <c r="W372" s="4">
        <f>V372+365</f>
        <v>41445</v>
      </c>
      <c r="X372" s="12"/>
    </row>
    <row r="373" spans="1:24" ht="13.5" customHeight="1" x14ac:dyDescent="0.3">
      <c r="A373" s="657"/>
      <c r="B373" s="689"/>
      <c r="C373" s="666"/>
      <c r="D373" s="666"/>
      <c r="E373" s="666"/>
      <c r="F373" s="715"/>
      <c r="G373" s="666"/>
      <c r="H373" s="666"/>
      <c r="I373" s="6" t="s">
        <v>44</v>
      </c>
      <c r="J373" s="19">
        <v>40570</v>
      </c>
      <c r="K373" s="19">
        <v>40586</v>
      </c>
      <c r="L373" s="11"/>
      <c r="M373" s="15">
        <v>40596</v>
      </c>
      <c r="N373" s="19">
        <v>40623</v>
      </c>
      <c r="O373" s="7">
        <v>40673</v>
      </c>
      <c r="P373" s="158"/>
      <c r="Q373" s="23" t="s">
        <v>44</v>
      </c>
      <c r="R373" s="14">
        <f>916562.09/S2</f>
        <v>52828.090651819315</v>
      </c>
      <c r="S373" s="7">
        <v>40701</v>
      </c>
      <c r="T373" s="4">
        <v>40724</v>
      </c>
      <c r="U373" s="21"/>
      <c r="V373" s="4"/>
      <c r="W373" s="21"/>
      <c r="X373" s="12"/>
    </row>
    <row r="374" spans="1:24" x14ac:dyDescent="0.3">
      <c r="A374" s="657"/>
      <c r="B374" s="689"/>
      <c r="C374" s="666"/>
      <c r="D374" s="666"/>
      <c r="E374" s="666"/>
      <c r="F374" s="715"/>
      <c r="G374" s="666"/>
      <c r="H374" s="666"/>
      <c r="I374" s="310"/>
      <c r="J374" s="311"/>
      <c r="K374" s="311"/>
      <c r="L374" s="312"/>
      <c r="M374" s="313"/>
      <c r="N374" s="311"/>
      <c r="O374" s="311"/>
      <c r="P374" s="311"/>
      <c r="Q374" s="310"/>
      <c r="R374" s="314"/>
      <c r="S374" s="315"/>
      <c r="T374" s="311"/>
      <c r="U374" s="315"/>
      <c r="V374" s="316"/>
      <c r="W374" s="316"/>
      <c r="X374" s="317"/>
    </row>
    <row r="375" spans="1:24" x14ac:dyDescent="0.3">
      <c r="A375" s="656" t="s">
        <v>325</v>
      </c>
      <c r="B375" s="688" t="s">
        <v>326</v>
      </c>
      <c r="C375" s="665"/>
      <c r="D375" s="665" t="s">
        <v>93</v>
      </c>
      <c r="E375" s="665" t="s">
        <v>40</v>
      </c>
      <c r="F375" s="714">
        <f>760000/S2</f>
        <v>43804.287056409543</v>
      </c>
      <c r="G375" s="665" t="s">
        <v>94</v>
      </c>
      <c r="H375" s="665" t="s">
        <v>94</v>
      </c>
      <c r="I375" s="6" t="s">
        <v>43</v>
      </c>
      <c r="J375" s="19">
        <v>40471</v>
      </c>
      <c r="K375" s="19">
        <v>40487</v>
      </c>
      <c r="L375" s="7"/>
      <c r="M375" s="9">
        <v>40497</v>
      </c>
      <c r="N375" s="7">
        <v>40527</v>
      </c>
      <c r="O375" s="13">
        <v>40542</v>
      </c>
      <c r="P375" s="29">
        <v>40558</v>
      </c>
      <c r="Q375" s="23" t="s">
        <v>43</v>
      </c>
      <c r="R375" s="14"/>
      <c r="S375" s="13">
        <v>40563</v>
      </c>
      <c r="T375" s="7">
        <v>40570</v>
      </c>
      <c r="U375" s="21"/>
      <c r="V375" s="4">
        <f>T377+195</f>
        <v>40910</v>
      </c>
      <c r="W375" s="4">
        <f>V375+365</f>
        <v>41275</v>
      </c>
      <c r="X375" s="12"/>
    </row>
    <row r="376" spans="1:24" x14ac:dyDescent="0.3">
      <c r="A376" s="657"/>
      <c r="B376" s="689"/>
      <c r="C376" s="666"/>
      <c r="D376" s="666"/>
      <c r="E376" s="666"/>
      <c r="F376" s="715"/>
      <c r="G376" s="666"/>
      <c r="H376" s="666"/>
      <c r="I376" s="25" t="s">
        <v>226</v>
      </c>
      <c r="J376" s="19"/>
      <c r="K376" s="19"/>
      <c r="L376" s="7"/>
      <c r="M376" s="9"/>
      <c r="N376" s="7"/>
      <c r="O376" s="13"/>
      <c r="P376" s="7"/>
      <c r="Q376" s="26" t="s">
        <v>226</v>
      </c>
      <c r="R376" s="14"/>
      <c r="S376" s="13"/>
      <c r="T376" s="7"/>
      <c r="U376" s="21"/>
      <c r="V376" s="4">
        <v>41080</v>
      </c>
      <c r="W376" s="4">
        <f>V376+365</f>
        <v>41445</v>
      </c>
      <c r="X376" s="12"/>
    </row>
    <row r="377" spans="1:24" x14ac:dyDescent="0.3">
      <c r="A377" s="657"/>
      <c r="B377" s="689"/>
      <c r="C377" s="666"/>
      <c r="D377" s="666"/>
      <c r="E377" s="666"/>
      <c r="F377" s="715"/>
      <c r="G377" s="666"/>
      <c r="H377" s="666"/>
      <c r="I377" s="6" t="s">
        <v>44</v>
      </c>
      <c r="J377" s="19">
        <v>40570</v>
      </c>
      <c r="K377" s="19">
        <v>40586</v>
      </c>
      <c r="L377" s="11"/>
      <c r="M377" s="15">
        <v>40596</v>
      </c>
      <c r="N377" s="19">
        <v>40623</v>
      </c>
      <c r="O377" s="7">
        <v>40673</v>
      </c>
      <c r="P377" s="158"/>
      <c r="Q377" s="23" t="s">
        <v>44</v>
      </c>
      <c r="R377" s="14">
        <f>452865.86/S2</f>
        <v>26101.929117747073</v>
      </c>
      <c r="S377" s="7">
        <v>40701</v>
      </c>
      <c r="T377" s="4">
        <v>40715</v>
      </c>
      <c r="U377" s="21"/>
      <c r="V377" s="4"/>
      <c r="W377" s="21"/>
      <c r="X377" s="12"/>
    </row>
    <row r="378" spans="1:24" x14ac:dyDescent="0.3">
      <c r="A378" s="657"/>
      <c r="B378" s="689"/>
      <c r="C378" s="666"/>
      <c r="D378" s="666"/>
      <c r="E378" s="666"/>
      <c r="F378" s="715"/>
      <c r="G378" s="666"/>
      <c r="H378" s="666"/>
      <c r="I378" s="310"/>
      <c r="J378" s="311"/>
      <c r="K378" s="311"/>
      <c r="L378" s="312"/>
      <c r="M378" s="313"/>
      <c r="N378" s="311"/>
      <c r="O378" s="311"/>
      <c r="P378" s="311"/>
      <c r="Q378" s="310"/>
      <c r="R378" s="314"/>
      <c r="S378" s="315"/>
      <c r="T378" s="311"/>
      <c r="U378" s="315"/>
      <c r="V378" s="316"/>
      <c r="W378" s="316"/>
      <c r="X378" s="317"/>
    </row>
    <row r="379" spans="1:24" x14ac:dyDescent="0.3">
      <c r="A379" s="656" t="s">
        <v>327</v>
      </c>
      <c r="B379" s="688" t="s">
        <v>328</v>
      </c>
      <c r="C379" s="665"/>
      <c r="D379" s="665" t="s">
        <v>93</v>
      </c>
      <c r="E379" s="665" t="s">
        <v>40</v>
      </c>
      <c r="F379" s="714">
        <f>1485000/S2</f>
        <v>85591.271419431811</v>
      </c>
      <c r="G379" s="665" t="s">
        <v>94</v>
      </c>
      <c r="H379" s="665" t="s">
        <v>94</v>
      </c>
      <c r="I379" s="6" t="s">
        <v>43</v>
      </c>
      <c r="J379" s="19">
        <v>40532</v>
      </c>
      <c r="K379" s="19">
        <v>40548</v>
      </c>
      <c r="L379" s="7"/>
      <c r="M379" s="9">
        <v>40558</v>
      </c>
      <c r="N379" s="7">
        <v>40589</v>
      </c>
      <c r="O379" s="13" t="s">
        <v>329</v>
      </c>
      <c r="P379" s="29">
        <v>40558</v>
      </c>
      <c r="Q379" s="23" t="s">
        <v>43</v>
      </c>
      <c r="R379" s="14"/>
      <c r="S379" s="13">
        <v>40622</v>
      </c>
      <c r="T379" s="7">
        <v>40629</v>
      </c>
      <c r="U379" s="21"/>
      <c r="V379" s="4">
        <f>T381+195</f>
        <v>40912</v>
      </c>
      <c r="W379" s="4">
        <f>V379+365</f>
        <v>41277</v>
      </c>
      <c r="X379" s="12"/>
    </row>
    <row r="380" spans="1:24" x14ac:dyDescent="0.3">
      <c r="A380" s="657"/>
      <c r="B380" s="689"/>
      <c r="C380" s="666"/>
      <c r="D380" s="666"/>
      <c r="E380" s="666"/>
      <c r="F380" s="715"/>
      <c r="G380" s="666"/>
      <c r="H380" s="666"/>
      <c r="I380" s="25" t="s">
        <v>226</v>
      </c>
      <c r="J380" s="19"/>
      <c r="K380" s="19"/>
      <c r="L380" s="7"/>
      <c r="M380" s="9"/>
      <c r="N380" s="7"/>
      <c r="O380" s="13"/>
      <c r="P380" s="7"/>
      <c r="Q380" s="26" t="s">
        <v>226</v>
      </c>
      <c r="R380" s="14"/>
      <c r="S380" s="13"/>
      <c r="T380" s="7"/>
      <c r="U380" s="21"/>
      <c r="V380" s="4">
        <v>41080</v>
      </c>
      <c r="W380" s="4">
        <f>V380+365</f>
        <v>41445</v>
      </c>
      <c r="X380" s="12"/>
    </row>
    <row r="381" spans="1:24" x14ac:dyDescent="0.3">
      <c r="A381" s="657"/>
      <c r="B381" s="689"/>
      <c r="C381" s="666"/>
      <c r="D381" s="666"/>
      <c r="E381" s="666"/>
      <c r="F381" s="715"/>
      <c r="G381" s="666"/>
      <c r="H381" s="666"/>
      <c r="I381" s="6" t="s">
        <v>44</v>
      </c>
      <c r="J381" s="19">
        <v>40570</v>
      </c>
      <c r="K381" s="19">
        <v>40586</v>
      </c>
      <c r="L381" s="11"/>
      <c r="M381" s="15">
        <v>40596</v>
      </c>
      <c r="N381" s="19">
        <v>40623</v>
      </c>
      <c r="O381" s="7">
        <v>40673</v>
      </c>
      <c r="P381" s="158"/>
      <c r="Q381" s="23" t="s">
        <v>44</v>
      </c>
      <c r="R381" s="14">
        <f>795264.62/S2</f>
        <v>45836.841710903231</v>
      </c>
      <c r="S381" s="7">
        <v>40701</v>
      </c>
      <c r="T381" s="4">
        <v>40717</v>
      </c>
      <c r="U381" s="21"/>
      <c r="V381" s="4"/>
      <c r="W381" s="21"/>
      <c r="X381" s="12"/>
    </row>
    <row r="382" spans="1:24" x14ac:dyDescent="0.3">
      <c r="A382" s="657"/>
      <c r="B382" s="689"/>
      <c r="C382" s="666"/>
      <c r="D382" s="666"/>
      <c r="E382" s="666"/>
      <c r="F382" s="715"/>
      <c r="G382" s="666"/>
      <c r="H382" s="666"/>
      <c r="I382" s="310"/>
      <c r="J382" s="311"/>
      <c r="K382" s="311"/>
      <c r="L382" s="312"/>
      <c r="M382" s="313"/>
      <c r="N382" s="311"/>
      <c r="O382" s="311"/>
      <c r="P382" s="311"/>
      <c r="Q382" s="310"/>
      <c r="R382" s="314"/>
      <c r="S382" s="315"/>
      <c r="T382" s="311"/>
      <c r="U382" s="315"/>
      <c r="V382" s="316"/>
      <c r="W382" s="316"/>
      <c r="X382" s="317"/>
    </row>
    <row r="383" spans="1:24" x14ac:dyDescent="0.3">
      <c r="A383" s="656" t="s">
        <v>330</v>
      </c>
      <c r="B383" s="688" t="s">
        <v>331</v>
      </c>
      <c r="C383" s="665"/>
      <c r="D383" s="665" t="s">
        <v>93</v>
      </c>
      <c r="E383" s="665" t="s">
        <v>40</v>
      </c>
      <c r="F383" s="714">
        <f>1560000/S2</f>
        <v>89914.062905261686</v>
      </c>
      <c r="G383" s="665" t="s">
        <v>94</v>
      </c>
      <c r="H383" s="665" t="s">
        <v>94</v>
      </c>
      <c r="I383" s="6" t="s">
        <v>43</v>
      </c>
      <c r="J383" s="19">
        <v>40471</v>
      </c>
      <c r="K383" s="19">
        <v>40487</v>
      </c>
      <c r="L383" s="7"/>
      <c r="M383" s="9">
        <v>40497</v>
      </c>
      <c r="N383" s="7">
        <v>40527</v>
      </c>
      <c r="O383" s="13">
        <v>40542</v>
      </c>
      <c r="P383" s="29">
        <v>40558</v>
      </c>
      <c r="Q383" s="23" t="s">
        <v>43</v>
      </c>
      <c r="R383" s="14"/>
      <c r="S383" s="13">
        <v>40563</v>
      </c>
      <c r="T383" s="7">
        <v>40570</v>
      </c>
      <c r="U383" s="21"/>
      <c r="V383" s="4">
        <f>T385+195</f>
        <v>40912</v>
      </c>
      <c r="W383" s="4">
        <f>V383+365</f>
        <v>41277</v>
      </c>
      <c r="X383" s="12"/>
    </row>
    <row r="384" spans="1:24" x14ac:dyDescent="0.3">
      <c r="A384" s="657"/>
      <c r="B384" s="689"/>
      <c r="C384" s="666"/>
      <c r="D384" s="666"/>
      <c r="E384" s="666"/>
      <c r="F384" s="715"/>
      <c r="G384" s="666"/>
      <c r="H384" s="666"/>
      <c r="I384" s="25" t="s">
        <v>226</v>
      </c>
      <c r="J384" s="19"/>
      <c r="K384" s="19"/>
      <c r="L384" s="7"/>
      <c r="M384" s="9"/>
      <c r="N384" s="7"/>
      <c r="O384" s="13"/>
      <c r="P384" s="7"/>
      <c r="Q384" s="26" t="s">
        <v>226</v>
      </c>
      <c r="R384" s="14"/>
      <c r="S384" s="13"/>
      <c r="T384" s="7"/>
      <c r="U384" s="21"/>
      <c r="V384" s="4">
        <v>41080</v>
      </c>
      <c r="W384" s="4">
        <f>V384+365</f>
        <v>41445</v>
      </c>
      <c r="X384" s="12"/>
    </row>
    <row r="385" spans="1:24" x14ac:dyDescent="0.3">
      <c r="A385" s="657"/>
      <c r="B385" s="689"/>
      <c r="C385" s="666"/>
      <c r="D385" s="666"/>
      <c r="E385" s="666"/>
      <c r="F385" s="715"/>
      <c r="G385" s="666"/>
      <c r="H385" s="666"/>
      <c r="I385" s="6" t="s">
        <v>44</v>
      </c>
      <c r="J385" s="19">
        <v>40570</v>
      </c>
      <c r="K385" s="19">
        <v>40586</v>
      </c>
      <c r="L385" s="11"/>
      <c r="M385" s="15">
        <v>40596</v>
      </c>
      <c r="N385" s="19">
        <v>40623</v>
      </c>
      <c r="O385" s="7">
        <v>40673</v>
      </c>
      <c r="P385" s="158"/>
      <c r="Q385" s="23" t="s">
        <v>44</v>
      </c>
      <c r="R385" s="14">
        <f>317362.34/S2</f>
        <v>18291.882950334006</v>
      </c>
      <c r="S385" s="7">
        <v>40701</v>
      </c>
      <c r="T385" s="4">
        <v>40717</v>
      </c>
      <c r="U385" s="21"/>
      <c r="V385" s="4"/>
      <c r="W385" s="21"/>
      <c r="X385" s="12"/>
    </row>
    <row r="386" spans="1:24" x14ac:dyDescent="0.3">
      <c r="A386" s="657"/>
      <c r="B386" s="689"/>
      <c r="C386" s="666"/>
      <c r="D386" s="666"/>
      <c r="E386" s="666"/>
      <c r="F386" s="715"/>
      <c r="G386" s="666"/>
      <c r="H386" s="666"/>
      <c r="I386" s="310"/>
      <c r="J386" s="311"/>
      <c r="K386" s="311"/>
      <c r="L386" s="312"/>
      <c r="M386" s="313"/>
      <c r="N386" s="311"/>
      <c r="O386" s="311"/>
      <c r="P386" s="311"/>
      <c r="Q386" s="310"/>
      <c r="R386" s="314"/>
      <c r="S386" s="315"/>
      <c r="T386" s="311"/>
      <c r="U386" s="315"/>
      <c r="V386" s="316"/>
      <c r="W386" s="316"/>
      <c r="X386" s="317"/>
    </row>
    <row r="387" spans="1:24" x14ac:dyDescent="0.3">
      <c r="A387" s="656" t="s">
        <v>332</v>
      </c>
      <c r="B387" s="688" t="s">
        <v>333</v>
      </c>
      <c r="C387" s="665"/>
      <c r="D387" s="665" t="s">
        <v>93</v>
      </c>
      <c r="E387" s="665" t="s">
        <v>40</v>
      </c>
      <c r="F387" s="714">
        <f>1485000/S2</f>
        <v>85591.271419431811</v>
      </c>
      <c r="G387" s="665" t="s">
        <v>94</v>
      </c>
      <c r="H387" s="665" t="s">
        <v>94</v>
      </c>
      <c r="I387" s="6" t="s">
        <v>43</v>
      </c>
      <c r="J387" s="19">
        <v>40410</v>
      </c>
      <c r="K387" s="19">
        <v>40426</v>
      </c>
      <c r="L387" s="7"/>
      <c r="M387" s="9">
        <v>40436</v>
      </c>
      <c r="N387" s="7">
        <v>40466</v>
      </c>
      <c r="O387" s="13">
        <v>40481</v>
      </c>
      <c r="P387" s="29">
        <v>40862</v>
      </c>
      <c r="Q387" s="23" t="s">
        <v>43</v>
      </c>
      <c r="R387" s="14"/>
      <c r="S387" s="7" t="s">
        <v>334</v>
      </c>
      <c r="T387" s="7">
        <v>40509</v>
      </c>
      <c r="U387" s="21"/>
      <c r="V387" s="4">
        <f>T389+195</f>
        <v>40911</v>
      </c>
      <c r="W387" s="4">
        <f>V387+365</f>
        <v>41276</v>
      </c>
      <c r="X387" s="12"/>
    </row>
    <row r="388" spans="1:24" x14ac:dyDescent="0.3">
      <c r="A388" s="657"/>
      <c r="B388" s="689"/>
      <c r="C388" s="666"/>
      <c r="D388" s="666"/>
      <c r="E388" s="666"/>
      <c r="F388" s="715"/>
      <c r="G388" s="666"/>
      <c r="H388" s="666"/>
      <c r="I388" s="25" t="s">
        <v>226</v>
      </c>
      <c r="J388" s="19"/>
      <c r="K388" s="19"/>
      <c r="L388" s="7"/>
      <c r="M388" s="9"/>
      <c r="N388" s="7"/>
      <c r="O388" s="13"/>
      <c r="P388" s="7"/>
      <c r="Q388" s="26" t="s">
        <v>226</v>
      </c>
      <c r="R388" s="14"/>
      <c r="S388" s="7"/>
      <c r="T388" s="7"/>
      <c r="U388" s="21"/>
      <c r="V388" s="4">
        <v>41080</v>
      </c>
      <c r="W388" s="4">
        <f>V388+365</f>
        <v>41445</v>
      </c>
      <c r="X388" s="12"/>
    </row>
    <row r="389" spans="1:24" x14ac:dyDescent="0.3">
      <c r="A389" s="657"/>
      <c r="B389" s="689"/>
      <c r="C389" s="666"/>
      <c r="D389" s="666"/>
      <c r="E389" s="666"/>
      <c r="F389" s="715"/>
      <c r="G389" s="666"/>
      <c r="H389" s="666"/>
      <c r="I389" s="6" t="s">
        <v>44</v>
      </c>
      <c r="J389" s="19">
        <v>40570</v>
      </c>
      <c r="K389" s="19">
        <v>40586</v>
      </c>
      <c r="L389" s="11"/>
      <c r="M389" s="15">
        <v>40596</v>
      </c>
      <c r="N389" s="19">
        <v>40623</v>
      </c>
      <c r="O389" s="7">
        <v>40673</v>
      </c>
      <c r="P389" s="158"/>
      <c r="Q389" s="23" t="s">
        <v>44</v>
      </c>
      <c r="R389" s="14">
        <f>1036825.97/S2</f>
        <v>59759.766338710877</v>
      </c>
      <c r="S389" s="7">
        <v>40701</v>
      </c>
      <c r="T389" s="4">
        <v>40716</v>
      </c>
      <c r="U389" s="21"/>
      <c r="V389" s="4"/>
      <c r="W389" s="21"/>
      <c r="X389" s="12"/>
    </row>
    <row r="390" spans="1:24" x14ac:dyDescent="0.3">
      <c r="A390" s="657"/>
      <c r="B390" s="689"/>
      <c r="C390" s="666"/>
      <c r="D390" s="666"/>
      <c r="E390" s="666"/>
      <c r="F390" s="715"/>
      <c r="G390" s="666"/>
      <c r="H390" s="666"/>
      <c r="I390" s="310"/>
      <c r="J390" s="311"/>
      <c r="K390" s="311"/>
      <c r="L390" s="312"/>
      <c r="M390" s="313"/>
      <c r="N390" s="311"/>
      <c r="O390" s="311"/>
      <c r="P390" s="311"/>
      <c r="Q390" s="310"/>
      <c r="R390" s="314"/>
      <c r="S390" s="315"/>
      <c r="T390" s="311"/>
      <c r="U390" s="315"/>
      <c r="V390" s="316"/>
      <c r="W390" s="316"/>
      <c r="X390" s="317"/>
    </row>
    <row r="391" spans="1:24" x14ac:dyDescent="0.3">
      <c r="A391" s="656" t="s">
        <v>335</v>
      </c>
      <c r="B391" s="688" t="s">
        <v>336</v>
      </c>
      <c r="C391" s="665"/>
      <c r="D391" s="665" t="s">
        <v>93</v>
      </c>
      <c r="E391" s="665" t="s">
        <v>40</v>
      </c>
      <c r="F391" s="714">
        <f>709639.266706091/6</f>
        <v>118273.21111768183</v>
      </c>
      <c r="G391" s="665" t="s">
        <v>94</v>
      </c>
      <c r="H391" s="665" t="s">
        <v>94</v>
      </c>
      <c r="I391" s="6" t="s">
        <v>43</v>
      </c>
      <c r="J391" s="19">
        <v>40775</v>
      </c>
      <c r="K391" s="19">
        <v>40780</v>
      </c>
      <c r="L391" s="7"/>
      <c r="M391" s="9">
        <v>40791</v>
      </c>
      <c r="N391" s="7">
        <v>40821</v>
      </c>
      <c r="O391" s="13">
        <f>N393+10</f>
        <v>40985</v>
      </c>
      <c r="P391" s="29">
        <f>O391+3</f>
        <v>40988</v>
      </c>
      <c r="Q391" s="23" t="s">
        <v>43</v>
      </c>
      <c r="R391" s="14"/>
      <c r="S391" s="7">
        <f>P391+1</f>
        <v>40989</v>
      </c>
      <c r="T391" s="4">
        <f>7+S391</f>
        <v>40996</v>
      </c>
      <c r="U391" s="21"/>
      <c r="V391" s="4">
        <f>120+T391</f>
        <v>41116</v>
      </c>
      <c r="W391" s="4">
        <f>365+V391</f>
        <v>41481</v>
      </c>
      <c r="X391" s="12"/>
    </row>
    <row r="392" spans="1:24" x14ac:dyDescent="0.3">
      <c r="A392" s="657"/>
      <c r="B392" s="689"/>
      <c r="C392" s="666"/>
      <c r="D392" s="666"/>
      <c r="E392" s="666"/>
      <c r="F392" s="715"/>
      <c r="G392" s="666"/>
      <c r="H392" s="666"/>
      <c r="I392" s="6" t="s">
        <v>50</v>
      </c>
      <c r="J392" s="159"/>
      <c r="K392" s="11"/>
      <c r="L392" s="156"/>
      <c r="M392" s="15"/>
      <c r="N392" s="19"/>
      <c r="O392" s="13"/>
      <c r="P392" s="4"/>
      <c r="Q392" s="6"/>
      <c r="R392" s="10"/>
      <c r="S392" s="4"/>
      <c r="T392" s="13"/>
      <c r="U392" s="11"/>
      <c r="V392" s="44">
        <f>T393+120</f>
        <v>41159</v>
      </c>
      <c r="W392" s="4">
        <f>V392+365</f>
        <v>41524</v>
      </c>
      <c r="X392" s="12"/>
    </row>
    <row r="393" spans="1:24" x14ac:dyDescent="0.3">
      <c r="A393" s="657"/>
      <c r="B393" s="689"/>
      <c r="C393" s="666"/>
      <c r="D393" s="666"/>
      <c r="E393" s="666"/>
      <c r="F393" s="715"/>
      <c r="G393" s="666"/>
      <c r="H393" s="666"/>
      <c r="I393" s="6" t="s">
        <v>44</v>
      </c>
      <c r="J393" s="19">
        <v>40892</v>
      </c>
      <c r="K393" s="19">
        <v>40897</v>
      </c>
      <c r="L393" s="11"/>
      <c r="M393" s="15">
        <v>40948</v>
      </c>
      <c r="N393" s="19">
        <v>40975</v>
      </c>
      <c r="O393" s="7">
        <f>P393-3</f>
        <v>41008</v>
      </c>
      <c r="P393" s="4">
        <v>41011</v>
      </c>
      <c r="Q393" s="23" t="s">
        <v>44</v>
      </c>
      <c r="R393" s="14">
        <f>672405/S2</f>
        <v>38755.554787059285</v>
      </c>
      <c r="S393" s="19">
        <v>41029</v>
      </c>
      <c r="T393" s="13">
        <v>41039</v>
      </c>
      <c r="U393" s="19"/>
      <c r="V393" s="44"/>
      <c r="W393" s="19"/>
      <c r="X393" s="12"/>
    </row>
    <row r="394" spans="1:24" x14ac:dyDescent="0.3">
      <c r="A394" s="657"/>
      <c r="B394" s="689"/>
      <c r="C394" s="666"/>
      <c r="D394" s="666"/>
      <c r="E394" s="666"/>
      <c r="F394" s="715"/>
      <c r="G394" s="666"/>
      <c r="H394" s="666"/>
      <c r="I394" s="310"/>
      <c r="J394" s="311"/>
      <c r="K394" s="311"/>
      <c r="L394" s="312"/>
      <c r="M394" s="313"/>
      <c r="N394" s="311"/>
      <c r="O394" s="311"/>
      <c r="P394" s="311"/>
      <c r="Q394" s="310"/>
      <c r="R394" s="314"/>
      <c r="S394" s="315"/>
      <c r="T394" s="311"/>
      <c r="U394" s="315"/>
      <c r="V394" s="316"/>
      <c r="W394" s="316"/>
      <c r="X394" s="317"/>
    </row>
    <row r="395" spans="1:24" x14ac:dyDescent="0.3">
      <c r="A395" s="656" t="s">
        <v>337</v>
      </c>
      <c r="B395" s="688" t="s">
        <v>338</v>
      </c>
      <c r="C395" s="665"/>
      <c r="D395" s="665" t="s">
        <v>93</v>
      </c>
      <c r="E395" s="665" t="s">
        <v>40</v>
      </c>
      <c r="F395" s="714">
        <f>709639.266706091/6</f>
        <v>118273.21111768183</v>
      </c>
      <c r="G395" s="665" t="s">
        <v>94</v>
      </c>
      <c r="H395" s="665" t="s">
        <v>94</v>
      </c>
      <c r="I395" s="6" t="s">
        <v>43</v>
      </c>
      <c r="J395" s="19">
        <v>40775</v>
      </c>
      <c r="K395" s="19">
        <v>40780</v>
      </c>
      <c r="L395" s="7"/>
      <c r="M395" s="9">
        <v>40791</v>
      </c>
      <c r="N395" s="7">
        <v>40821</v>
      </c>
      <c r="O395" s="13">
        <f>N397+10</f>
        <v>40985</v>
      </c>
      <c r="P395" s="29">
        <f>O395+3</f>
        <v>40988</v>
      </c>
      <c r="Q395" s="23" t="s">
        <v>43</v>
      </c>
      <c r="R395" s="14"/>
      <c r="S395" s="7">
        <f>P395+1</f>
        <v>40989</v>
      </c>
      <c r="T395" s="4">
        <f>7+S395</f>
        <v>40996</v>
      </c>
      <c r="U395" s="21"/>
      <c r="V395" s="4">
        <f>120+T395</f>
        <v>41116</v>
      </c>
      <c r="W395" s="4">
        <f>365+V395</f>
        <v>41481</v>
      </c>
      <c r="X395" s="12"/>
    </row>
    <row r="396" spans="1:24" x14ac:dyDescent="0.3">
      <c r="A396" s="657"/>
      <c r="B396" s="689"/>
      <c r="C396" s="666"/>
      <c r="D396" s="666"/>
      <c r="E396" s="666"/>
      <c r="F396" s="715"/>
      <c r="G396" s="666"/>
      <c r="H396" s="666"/>
      <c r="I396" s="6" t="s">
        <v>50</v>
      </c>
      <c r="J396" s="159"/>
      <c r="K396" s="11"/>
      <c r="L396" s="156"/>
      <c r="M396" s="15"/>
      <c r="N396" s="19"/>
      <c r="O396" s="13"/>
      <c r="P396" s="4"/>
      <c r="Q396" s="6"/>
      <c r="R396" s="10"/>
      <c r="S396" s="4"/>
      <c r="T396" s="4"/>
      <c r="U396" s="11"/>
      <c r="V396" s="44">
        <f>T397+120</f>
        <v>41159</v>
      </c>
      <c r="W396" s="4">
        <f>V396+365</f>
        <v>41524</v>
      </c>
      <c r="X396" s="12"/>
    </row>
    <row r="397" spans="1:24" x14ac:dyDescent="0.3">
      <c r="A397" s="657"/>
      <c r="B397" s="689"/>
      <c r="C397" s="666"/>
      <c r="D397" s="666"/>
      <c r="E397" s="666"/>
      <c r="F397" s="715"/>
      <c r="G397" s="666"/>
      <c r="H397" s="666"/>
      <c r="I397" s="6" t="s">
        <v>44</v>
      </c>
      <c r="J397" s="19">
        <v>40892</v>
      </c>
      <c r="K397" s="19">
        <v>40897</v>
      </c>
      <c r="L397" s="11"/>
      <c r="M397" s="15">
        <v>40948</v>
      </c>
      <c r="N397" s="19">
        <v>40975</v>
      </c>
      <c r="O397" s="7">
        <v>41008</v>
      </c>
      <c r="P397" s="4">
        <v>41011</v>
      </c>
      <c r="Q397" s="23" t="s">
        <v>44</v>
      </c>
      <c r="R397" s="14">
        <f>1291951.4/S2</f>
        <v>74464.486827013403</v>
      </c>
      <c r="S397" s="19">
        <v>41029</v>
      </c>
      <c r="T397" s="13">
        <v>41039</v>
      </c>
      <c r="U397" s="19"/>
      <c r="V397" s="44"/>
      <c r="W397" s="19"/>
      <c r="X397" s="12"/>
    </row>
    <row r="398" spans="1:24" x14ac:dyDescent="0.3">
      <c r="A398" s="657"/>
      <c r="B398" s="689"/>
      <c r="C398" s="666"/>
      <c r="D398" s="666"/>
      <c r="E398" s="666"/>
      <c r="F398" s="715"/>
      <c r="G398" s="666"/>
      <c r="H398" s="666"/>
      <c r="I398" s="310"/>
      <c r="J398" s="311"/>
      <c r="K398" s="311"/>
      <c r="L398" s="312"/>
      <c r="M398" s="313"/>
      <c r="N398" s="311"/>
      <c r="O398" s="311"/>
      <c r="P398" s="311"/>
      <c r="Q398" s="310"/>
      <c r="R398" s="314"/>
      <c r="S398" s="315"/>
      <c r="T398" s="311"/>
      <c r="U398" s="315"/>
      <c r="V398" s="316"/>
      <c r="W398" s="316"/>
      <c r="X398" s="317"/>
    </row>
    <row r="399" spans="1:24" x14ac:dyDescent="0.3">
      <c r="A399" s="656" t="s">
        <v>339</v>
      </c>
      <c r="B399" s="688" t="s">
        <v>340</v>
      </c>
      <c r="C399" s="665"/>
      <c r="D399" s="665" t="s">
        <v>93</v>
      </c>
      <c r="E399" s="665" t="s">
        <v>40</v>
      </c>
      <c r="F399" s="714">
        <f>709639.266706091/6</f>
        <v>118273.21111768183</v>
      </c>
      <c r="G399" s="665" t="s">
        <v>94</v>
      </c>
      <c r="H399" s="665" t="s">
        <v>94</v>
      </c>
      <c r="I399" s="6" t="s">
        <v>43</v>
      </c>
      <c r="J399" s="19">
        <v>40775</v>
      </c>
      <c r="K399" s="19">
        <v>40780</v>
      </c>
      <c r="L399" s="7"/>
      <c r="M399" s="9">
        <v>40791</v>
      </c>
      <c r="N399" s="7">
        <v>40821</v>
      </c>
      <c r="O399" s="13">
        <f>N401+10</f>
        <v>40985</v>
      </c>
      <c r="P399" s="29">
        <f>O399+3</f>
        <v>40988</v>
      </c>
      <c r="Q399" s="23" t="s">
        <v>43</v>
      </c>
      <c r="R399" s="14"/>
      <c r="S399" s="13">
        <f>P399+1</f>
        <v>40989</v>
      </c>
      <c r="T399" s="19">
        <f>7+S399</f>
        <v>40996</v>
      </c>
      <c r="U399" s="19"/>
      <c r="V399" s="19">
        <f>120+T399</f>
        <v>41116</v>
      </c>
      <c r="W399" s="19">
        <f>365+V399</f>
        <v>41481</v>
      </c>
      <c r="X399" s="12"/>
    </row>
    <row r="400" spans="1:24" x14ac:dyDescent="0.3">
      <c r="A400" s="657"/>
      <c r="B400" s="689"/>
      <c r="C400" s="666"/>
      <c r="D400" s="666"/>
      <c r="E400" s="666"/>
      <c r="F400" s="715"/>
      <c r="G400" s="666"/>
      <c r="H400" s="666"/>
      <c r="I400" s="6" t="s">
        <v>50</v>
      </c>
      <c r="J400" s="159"/>
      <c r="K400" s="11"/>
      <c r="L400" s="156"/>
      <c r="M400" s="15"/>
      <c r="N400" s="19"/>
      <c r="O400" s="13"/>
      <c r="P400" s="4"/>
      <c r="Q400" s="6"/>
      <c r="R400" s="10"/>
      <c r="S400" s="19"/>
      <c r="T400" s="19"/>
      <c r="U400" s="19"/>
      <c r="V400" s="44">
        <f>T401+120</f>
        <v>41159</v>
      </c>
      <c r="W400" s="4">
        <f>V400+365</f>
        <v>41524</v>
      </c>
      <c r="X400" s="12"/>
    </row>
    <row r="401" spans="1:24" x14ac:dyDescent="0.3">
      <c r="A401" s="657"/>
      <c r="B401" s="689"/>
      <c r="C401" s="666"/>
      <c r="D401" s="666"/>
      <c r="E401" s="666"/>
      <c r="F401" s="715"/>
      <c r="G401" s="666"/>
      <c r="H401" s="666"/>
      <c r="I401" s="6" t="s">
        <v>44</v>
      </c>
      <c r="J401" s="19">
        <v>40892</v>
      </c>
      <c r="K401" s="19">
        <v>40897</v>
      </c>
      <c r="L401" s="11"/>
      <c r="M401" s="15">
        <v>40948</v>
      </c>
      <c r="N401" s="19">
        <v>40975</v>
      </c>
      <c r="O401" s="7">
        <v>41008</v>
      </c>
      <c r="P401" s="4">
        <v>41011</v>
      </c>
      <c r="Q401" s="23" t="s">
        <v>44</v>
      </c>
      <c r="R401" s="14">
        <f>4344940.45/S2</f>
        <v>250430.28778263851</v>
      </c>
      <c r="S401" s="19">
        <v>41029</v>
      </c>
      <c r="T401" s="13">
        <v>41039</v>
      </c>
      <c r="U401" s="19"/>
      <c r="V401" s="44"/>
      <c r="W401" s="19"/>
      <c r="X401" s="12"/>
    </row>
    <row r="402" spans="1:24" x14ac:dyDescent="0.3">
      <c r="A402" s="657"/>
      <c r="B402" s="689"/>
      <c r="C402" s="666"/>
      <c r="D402" s="666"/>
      <c r="E402" s="666"/>
      <c r="F402" s="715"/>
      <c r="G402" s="666"/>
      <c r="H402" s="666"/>
      <c r="I402" s="310"/>
      <c r="J402" s="311"/>
      <c r="K402" s="311"/>
      <c r="L402" s="312"/>
      <c r="M402" s="313"/>
      <c r="N402" s="311"/>
      <c r="O402" s="311"/>
      <c r="P402" s="311"/>
      <c r="Q402" s="310"/>
      <c r="R402" s="314"/>
      <c r="S402" s="315"/>
      <c r="T402" s="311"/>
      <c r="U402" s="315"/>
      <c r="V402" s="316"/>
      <c r="W402" s="316"/>
      <c r="X402" s="317"/>
    </row>
    <row r="403" spans="1:24" x14ac:dyDescent="0.3">
      <c r="A403" s="656" t="s">
        <v>341</v>
      </c>
      <c r="B403" s="688" t="s">
        <v>342</v>
      </c>
      <c r="C403" s="665"/>
      <c r="D403" s="665" t="s">
        <v>93</v>
      </c>
      <c r="E403" s="665" t="s">
        <v>40</v>
      </c>
      <c r="F403" s="714">
        <f>709639.266706091/6</f>
        <v>118273.21111768183</v>
      </c>
      <c r="G403" s="665" t="s">
        <v>94</v>
      </c>
      <c r="H403" s="665" t="s">
        <v>94</v>
      </c>
      <c r="I403" s="6" t="s">
        <v>43</v>
      </c>
      <c r="J403" s="19">
        <v>40775</v>
      </c>
      <c r="K403" s="19">
        <v>40780</v>
      </c>
      <c r="L403" s="7"/>
      <c r="M403" s="9">
        <v>40791</v>
      </c>
      <c r="N403" s="7">
        <v>40821</v>
      </c>
      <c r="O403" s="13">
        <f>N405+10</f>
        <v>40985</v>
      </c>
      <c r="P403" s="29">
        <f>O403+3</f>
        <v>40988</v>
      </c>
      <c r="Q403" s="23" t="s">
        <v>43</v>
      </c>
      <c r="R403" s="14"/>
      <c r="S403" s="13">
        <f>P403+1</f>
        <v>40989</v>
      </c>
      <c r="T403" s="19">
        <f>7+S403</f>
        <v>40996</v>
      </c>
      <c r="U403" s="19"/>
      <c r="V403" s="19">
        <f>120+T403</f>
        <v>41116</v>
      </c>
      <c r="W403" s="19">
        <f>365+V403</f>
        <v>41481</v>
      </c>
      <c r="X403" s="12"/>
    </row>
    <row r="404" spans="1:24" x14ac:dyDescent="0.3">
      <c r="A404" s="657"/>
      <c r="B404" s="689"/>
      <c r="C404" s="666"/>
      <c r="D404" s="666"/>
      <c r="E404" s="666"/>
      <c r="F404" s="715"/>
      <c r="G404" s="666"/>
      <c r="H404" s="666"/>
      <c r="I404" s="6" t="s">
        <v>50</v>
      </c>
      <c r="J404" s="159"/>
      <c r="K404" s="11"/>
      <c r="L404" s="156"/>
      <c r="M404" s="15"/>
      <c r="N404" s="19"/>
      <c r="O404" s="13"/>
      <c r="P404" s="4"/>
      <c r="Q404" s="6"/>
      <c r="R404" s="10"/>
      <c r="S404" s="19"/>
      <c r="T404" s="19"/>
      <c r="U404" s="19"/>
      <c r="V404" s="44">
        <f>T405+120</f>
        <v>41159</v>
      </c>
      <c r="W404" s="4">
        <f>V404+365</f>
        <v>41524</v>
      </c>
      <c r="X404" s="12"/>
    </row>
    <row r="405" spans="1:24" x14ac:dyDescent="0.3">
      <c r="A405" s="657"/>
      <c r="B405" s="689"/>
      <c r="C405" s="666"/>
      <c r="D405" s="666"/>
      <c r="E405" s="666"/>
      <c r="F405" s="715"/>
      <c r="G405" s="666"/>
      <c r="H405" s="666"/>
      <c r="I405" s="6" t="s">
        <v>44</v>
      </c>
      <c r="J405" s="19">
        <v>40892</v>
      </c>
      <c r="K405" s="19">
        <v>40897</v>
      </c>
      <c r="L405" s="11"/>
      <c r="M405" s="15">
        <v>40948</v>
      </c>
      <c r="N405" s="19">
        <v>40975</v>
      </c>
      <c r="O405" s="7">
        <v>41008</v>
      </c>
      <c r="P405" s="4">
        <v>41011</v>
      </c>
      <c r="Q405" s="23" t="s">
        <v>44</v>
      </c>
      <c r="R405" s="14">
        <f>665084.27/S2</f>
        <v>38333.608262871829</v>
      </c>
      <c r="S405" s="19">
        <v>41029</v>
      </c>
      <c r="T405" s="13">
        <v>41039</v>
      </c>
      <c r="U405" s="19"/>
      <c r="V405" s="44"/>
      <c r="W405" s="19"/>
      <c r="X405" s="12"/>
    </row>
    <row r="406" spans="1:24" x14ac:dyDescent="0.3">
      <c r="A406" s="657"/>
      <c r="B406" s="689"/>
      <c r="C406" s="666"/>
      <c r="D406" s="666"/>
      <c r="E406" s="666"/>
      <c r="F406" s="715"/>
      <c r="G406" s="666"/>
      <c r="H406" s="666"/>
      <c r="I406" s="310"/>
      <c r="J406" s="311"/>
      <c r="K406" s="311"/>
      <c r="L406" s="312"/>
      <c r="M406" s="313"/>
      <c r="N406" s="311"/>
      <c r="O406" s="311"/>
      <c r="P406" s="311"/>
      <c r="Q406" s="310"/>
      <c r="R406" s="314"/>
      <c r="S406" s="315"/>
      <c r="T406" s="311"/>
      <c r="U406" s="315"/>
      <c r="V406" s="316"/>
      <c r="W406" s="316"/>
      <c r="X406" s="317"/>
    </row>
    <row r="407" spans="1:24" x14ac:dyDescent="0.3">
      <c r="A407" s="656" t="s">
        <v>343</v>
      </c>
      <c r="B407" s="688" t="s">
        <v>344</v>
      </c>
      <c r="C407" s="665"/>
      <c r="D407" s="665" t="s">
        <v>93</v>
      </c>
      <c r="E407" s="665" t="s">
        <v>40</v>
      </c>
      <c r="F407" s="714">
        <f>709639.266706091/6</f>
        <v>118273.21111768183</v>
      </c>
      <c r="G407" s="665" t="s">
        <v>94</v>
      </c>
      <c r="H407" s="665" t="s">
        <v>94</v>
      </c>
      <c r="I407" s="6" t="s">
        <v>43</v>
      </c>
      <c r="J407" s="19">
        <v>40775</v>
      </c>
      <c r="K407" s="19">
        <v>40780</v>
      </c>
      <c r="L407" s="7"/>
      <c r="M407" s="9">
        <v>40791</v>
      </c>
      <c r="N407" s="7">
        <v>40821</v>
      </c>
      <c r="O407" s="13">
        <f>N409+10</f>
        <v>40985</v>
      </c>
      <c r="P407" s="29">
        <f>O407+3</f>
        <v>40988</v>
      </c>
      <c r="Q407" s="23" t="s">
        <v>43</v>
      </c>
      <c r="R407" s="14"/>
      <c r="S407" s="13">
        <f>P407+1</f>
        <v>40989</v>
      </c>
      <c r="T407" s="19">
        <f>7+S407</f>
        <v>40996</v>
      </c>
      <c r="U407" s="19"/>
      <c r="V407" s="19">
        <f>120+T407</f>
        <v>41116</v>
      </c>
      <c r="W407" s="19">
        <f>365+V407</f>
        <v>41481</v>
      </c>
      <c r="X407" s="12"/>
    </row>
    <row r="408" spans="1:24" x14ac:dyDescent="0.3">
      <c r="A408" s="657"/>
      <c r="B408" s="689"/>
      <c r="C408" s="666"/>
      <c r="D408" s="666"/>
      <c r="E408" s="666"/>
      <c r="F408" s="715"/>
      <c r="G408" s="666"/>
      <c r="H408" s="666"/>
      <c r="I408" s="6" t="s">
        <v>50</v>
      </c>
      <c r="J408" s="159"/>
      <c r="K408" s="11"/>
      <c r="L408" s="156"/>
      <c r="M408" s="15"/>
      <c r="N408" s="19"/>
      <c r="O408" s="13"/>
      <c r="P408" s="4"/>
      <c r="Q408" s="6"/>
      <c r="R408" s="10"/>
      <c r="S408" s="19"/>
      <c r="T408" s="19"/>
      <c r="U408" s="19"/>
      <c r="V408" s="44">
        <f>T409+120</f>
        <v>41159</v>
      </c>
      <c r="W408" s="4">
        <f>V408+365</f>
        <v>41524</v>
      </c>
      <c r="X408" s="12"/>
    </row>
    <row r="409" spans="1:24" x14ac:dyDescent="0.3">
      <c r="A409" s="657"/>
      <c r="B409" s="689"/>
      <c r="C409" s="666"/>
      <c r="D409" s="666"/>
      <c r="E409" s="666"/>
      <c r="F409" s="715"/>
      <c r="G409" s="666"/>
      <c r="H409" s="666"/>
      <c r="I409" s="6" t="s">
        <v>44</v>
      </c>
      <c r="J409" s="19">
        <v>40892</v>
      </c>
      <c r="K409" s="19">
        <v>40897</v>
      </c>
      <c r="L409" s="11"/>
      <c r="M409" s="15">
        <v>40948</v>
      </c>
      <c r="N409" s="19">
        <v>40975</v>
      </c>
      <c r="O409" s="7">
        <v>41008</v>
      </c>
      <c r="P409" s="4">
        <v>41011</v>
      </c>
      <c r="Q409" s="23" t="s">
        <v>44</v>
      </c>
      <c r="R409" s="14">
        <f>2649349.13/S2</f>
        <v>152701.11816206432</v>
      </c>
      <c r="S409" s="19">
        <v>41029</v>
      </c>
      <c r="T409" s="13">
        <v>41039</v>
      </c>
      <c r="U409" s="19"/>
      <c r="V409" s="44"/>
      <c r="W409" s="19"/>
      <c r="X409" s="12"/>
    </row>
    <row r="410" spans="1:24" x14ac:dyDescent="0.3">
      <c r="A410" s="657"/>
      <c r="B410" s="689"/>
      <c r="C410" s="666"/>
      <c r="D410" s="666"/>
      <c r="E410" s="666"/>
      <c r="F410" s="715"/>
      <c r="G410" s="666"/>
      <c r="H410" s="666"/>
      <c r="I410" s="310"/>
      <c r="J410" s="311"/>
      <c r="K410" s="311"/>
      <c r="L410" s="312"/>
      <c r="M410" s="313"/>
      <c r="N410" s="311"/>
      <c r="O410" s="311"/>
      <c r="P410" s="311"/>
      <c r="Q410" s="310"/>
      <c r="R410" s="314"/>
      <c r="S410" s="315"/>
      <c r="T410" s="311"/>
      <c r="U410" s="315"/>
      <c r="V410" s="316"/>
      <c r="W410" s="316"/>
      <c r="X410" s="317"/>
    </row>
    <row r="411" spans="1:24" x14ac:dyDescent="0.3">
      <c r="A411" s="656" t="s">
        <v>345</v>
      </c>
      <c r="B411" s="688" t="s">
        <v>346</v>
      </c>
      <c r="C411" s="665"/>
      <c r="D411" s="665" t="s">
        <v>93</v>
      </c>
      <c r="E411" s="665" t="s">
        <v>40</v>
      </c>
      <c r="F411" s="714">
        <f>709639.266706091/6</f>
        <v>118273.21111768183</v>
      </c>
      <c r="G411" s="665" t="s">
        <v>94</v>
      </c>
      <c r="H411" s="665" t="s">
        <v>94</v>
      </c>
      <c r="I411" s="6" t="s">
        <v>43</v>
      </c>
      <c r="J411" s="19">
        <v>40775</v>
      </c>
      <c r="K411" s="19">
        <v>40780</v>
      </c>
      <c r="L411" s="7"/>
      <c r="M411" s="9">
        <v>40791</v>
      </c>
      <c r="N411" s="7">
        <v>40821</v>
      </c>
      <c r="O411" s="13">
        <f>N413+10</f>
        <v>40985</v>
      </c>
      <c r="P411" s="29">
        <f>O411+3</f>
        <v>40988</v>
      </c>
      <c r="Q411" s="23" t="s">
        <v>43</v>
      </c>
      <c r="R411" s="14"/>
      <c r="S411" s="13">
        <f>P411+1</f>
        <v>40989</v>
      </c>
      <c r="T411" s="19">
        <f>7+S411</f>
        <v>40996</v>
      </c>
      <c r="U411" s="19"/>
      <c r="V411" s="19">
        <f>120+T411</f>
        <v>41116</v>
      </c>
      <c r="W411" s="19">
        <f>365+V411</f>
        <v>41481</v>
      </c>
      <c r="X411" s="12"/>
    </row>
    <row r="412" spans="1:24" x14ac:dyDescent="0.3">
      <c r="A412" s="657"/>
      <c r="B412" s="689"/>
      <c r="C412" s="666"/>
      <c r="D412" s="666"/>
      <c r="E412" s="666"/>
      <c r="F412" s="715"/>
      <c r="G412" s="666"/>
      <c r="H412" s="666"/>
      <c r="I412" s="6" t="s">
        <v>50</v>
      </c>
      <c r="J412" s="159"/>
      <c r="K412" s="11"/>
      <c r="L412" s="156"/>
      <c r="M412" s="15"/>
      <c r="N412" s="19"/>
      <c r="O412" s="13"/>
      <c r="P412" s="1"/>
      <c r="Q412" s="6"/>
      <c r="R412" s="10"/>
      <c r="S412" s="19"/>
      <c r="T412" s="19"/>
      <c r="U412" s="19"/>
      <c r="V412" s="44">
        <f>T413+120</f>
        <v>41159</v>
      </c>
      <c r="W412" s="4">
        <f>V412+365</f>
        <v>41524</v>
      </c>
      <c r="X412" s="12"/>
    </row>
    <row r="413" spans="1:24" x14ac:dyDescent="0.3">
      <c r="A413" s="657"/>
      <c r="B413" s="689"/>
      <c r="C413" s="666"/>
      <c r="D413" s="666"/>
      <c r="E413" s="666"/>
      <c r="F413" s="715"/>
      <c r="G413" s="666"/>
      <c r="H413" s="666"/>
      <c r="I413" s="6" t="s">
        <v>44</v>
      </c>
      <c r="J413" s="19">
        <v>40892</v>
      </c>
      <c r="K413" s="19">
        <v>40897</v>
      </c>
      <c r="L413" s="11"/>
      <c r="M413" s="15">
        <v>40948</v>
      </c>
      <c r="N413" s="19">
        <v>40975</v>
      </c>
      <c r="O413" s="7">
        <v>41008</v>
      </c>
      <c r="P413" s="4">
        <v>41011</v>
      </c>
      <c r="Q413" s="23" t="s">
        <v>44</v>
      </c>
      <c r="R413" s="14">
        <f>1354855.72/S2</f>
        <v>78090.116945918984</v>
      </c>
      <c r="S413" s="19">
        <v>41029</v>
      </c>
      <c r="T413" s="13">
        <v>41039</v>
      </c>
      <c r="U413" s="19"/>
      <c r="V413" s="44"/>
      <c r="W413" s="19"/>
      <c r="X413" s="12"/>
    </row>
    <row r="414" spans="1:24" x14ac:dyDescent="0.3">
      <c r="A414" s="657"/>
      <c r="B414" s="689"/>
      <c r="C414" s="666"/>
      <c r="D414" s="666"/>
      <c r="E414" s="666"/>
      <c r="F414" s="715"/>
      <c r="G414" s="666"/>
      <c r="H414" s="666"/>
      <c r="I414" s="310"/>
      <c r="J414" s="311"/>
      <c r="K414" s="311"/>
      <c r="L414" s="312"/>
      <c r="M414" s="313"/>
      <c r="N414" s="311"/>
      <c r="O414" s="311"/>
      <c r="P414" s="311"/>
      <c r="Q414" s="310"/>
      <c r="R414" s="314"/>
      <c r="S414" s="315"/>
      <c r="T414" s="311"/>
      <c r="U414" s="315"/>
      <c r="V414" s="316"/>
      <c r="W414" s="316"/>
      <c r="X414" s="317"/>
    </row>
    <row r="415" spans="1:24" x14ac:dyDescent="0.3">
      <c r="A415" s="656" t="s">
        <v>347</v>
      </c>
      <c r="B415" s="688" t="s">
        <v>348</v>
      </c>
      <c r="C415" s="665"/>
      <c r="D415" s="665" t="s">
        <v>93</v>
      </c>
      <c r="E415" s="665" t="s">
        <v>40</v>
      </c>
      <c r="F415" s="714">
        <f>709639.266706091/6</f>
        <v>118273.21111768183</v>
      </c>
      <c r="G415" s="665" t="s">
        <v>94</v>
      </c>
      <c r="H415" s="665" t="s">
        <v>94</v>
      </c>
      <c r="I415" s="6" t="s">
        <v>43</v>
      </c>
      <c r="J415" s="19">
        <v>40775</v>
      </c>
      <c r="K415" s="19">
        <v>40780</v>
      </c>
      <c r="L415" s="7"/>
      <c r="M415" s="9">
        <v>40791</v>
      </c>
      <c r="N415" s="7">
        <v>40821</v>
      </c>
      <c r="O415" s="13">
        <f>N417+10</f>
        <v>40985</v>
      </c>
      <c r="P415" s="29">
        <f>O415+3</f>
        <v>40988</v>
      </c>
      <c r="Q415" s="23" t="s">
        <v>43</v>
      </c>
      <c r="R415" s="14"/>
      <c r="S415" s="13">
        <f>P415+1</f>
        <v>40989</v>
      </c>
      <c r="T415" s="19">
        <f>7+S415</f>
        <v>40996</v>
      </c>
      <c r="U415" s="19"/>
      <c r="V415" s="19">
        <f>120+T415</f>
        <v>41116</v>
      </c>
      <c r="W415" s="19">
        <f>365+V415</f>
        <v>41481</v>
      </c>
      <c r="X415" s="12"/>
    </row>
    <row r="416" spans="1:24" x14ac:dyDescent="0.3">
      <c r="A416" s="657"/>
      <c r="B416" s="689"/>
      <c r="C416" s="666"/>
      <c r="D416" s="666"/>
      <c r="E416" s="666"/>
      <c r="F416" s="715"/>
      <c r="G416" s="666"/>
      <c r="H416" s="666"/>
      <c r="I416" s="6" t="s">
        <v>50</v>
      </c>
      <c r="J416" s="159"/>
      <c r="K416" s="11"/>
      <c r="L416" s="156"/>
      <c r="M416" s="15"/>
      <c r="N416" s="19"/>
      <c r="O416" s="13"/>
      <c r="P416" s="4"/>
      <c r="Q416" s="6"/>
      <c r="R416" s="10"/>
      <c r="S416" s="19"/>
      <c r="T416" s="19"/>
      <c r="U416" s="19"/>
      <c r="V416" s="44">
        <f>T417+120</f>
        <v>41159</v>
      </c>
      <c r="W416" s="4">
        <f>V416+365</f>
        <v>41524</v>
      </c>
      <c r="X416" s="12"/>
    </row>
    <row r="417" spans="1:24" x14ac:dyDescent="0.3">
      <c r="A417" s="657"/>
      <c r="B417" s="689"/>
      <c r="C417" s="666"/>
      <c r="D417" s="666"/>
      <c r="E417" s="666"/>
      <c r="F417" s="715"/>
      <c r="G417" s="666"/>
      <c r="H417" s="666"/>
      <c r="I417" s="6" t="s">
        <v>44</v>
      </c>
      <c r="J417" s="19">
        <v>40892</v>
      </c>
      <c r="K417" s="19">
        <v>40897</v>
      </c>
      <c r="L417" s="11"/>
      <c r="M417" s="15">
        <v>40948</v>
      </c>
      <c r="N417" s="19">
        <v>40975</v>
      </c>
      <c r="O417" s="7">
        <v>41008</v>
      </c>
      <c r="P417" s="4">
        <v>41011</v>
      </c>
      <c r="Q417" s="23" t="s">
        <v>44</v>
      </c>
      <c r="R417" s="14">
        <f>1081803.56/S2</f>
        <v>62352.149580112848</v>
      </c>
      <c r="S417" s="19">
        <v>41029</v>
      </c>
      <c r="T417" s="13">
        <v>41039</v>
      </c>
      <c r="U417" s="19"/>
      <c r="V417" s="44"/>
      <c r="W417" s="19"/>
      <c r="X417" s="12"/>
    </row>
    <row r="418" spans="1:24" x14ac:dyDescent="0.3">
      <c r="A418" s="657"/>
      <c r="B418" s="689"/>
      <c r="C418" s="666"/>
      <c r="D418" s="666"/>
      <c r="E418" s="666"/>
      <c r="F418" s="715"/>
      <c r="G418" s="666"/>
      <c r="H418" s="666"/>
      <c r="I418" s="310"/>
      <c r="J418" s="311"/>
      <c r="K418" s="311"/>
      <c r="L418" s="312"/>
      <c r="M418" s="313"/>
      <c r="N418" s="311"/>
      <c r="O418" s="311"/>
      <c r="P418" s="311"/>
      <c r="Q418" s="310"/>
      <c r="R418" s="314"/>
      <c r="S418" s="315"/>
      <c r="T418" s="311"/>
      <c r="U418" s="315"/>
      <c r="V418" s="316"/>
      <c r="W418" s="316"/>
      <c r="X418" s="317"/>
    </row>
    <row r="419" spans="1:24" x14ac:dyDescent="0.3">
      <c r="A419" s="656" t="s">
        <v>349</v>
      </c>
      <c r="B419" s="688" t="s">
        <v>350</v>
      </c>
      <c r="C419" s="665"/>
      <c r="D419" s="665" t="s">
        <v>93</v>
      </c>
      <c r="E419" s="665" t="s">
        <v>40</v>
      </c>
      <c r="F419" s="714">
        <f>709639.266706091/6</f>
        <v>118273.21111768183</v>
      </c>
      <c r="G419" s="665" t="s">
        <v>94</v>
      </c>
      <c r="H419" s="665" t="s">
        <v>94</v>
      </c>
      <c r="I419" s="6" t="s">
        <v>43</v>
      </c>
      <c r="J419" s="19">
        <v>40775</v>
      </c>
      <c r="K419" s="19">
        <v>40780</v>
      </c>
      <c r="L419" s="7"/>
      <c r="M419" s="9">
        <v>40791</v>
      </c>
      <c r="N419" s="7">
        <v>40821</v>
      </c>
      <c r="O419" s="13">
        <f>N421+10</f>
        <v>40985</v>
      </c>
      <c r="P419" s="29">
        <f>O419+3</f>
        <v>40988</v>
      </c>
      <c r="Q419" s="23" t="s">
        <v>43</v>
      </c>
      <c r="R419" s="14"/>
      <c r="S419" s="13">
        <f>P419+1</f>
        <v>40989</v>
      </c>
      <c r="T419" s="19">
        <f>7+S419</f>
        <v>40996</v>
      </c>
      <c r="U419" s="19"/>
      <c r="V419" s="19">
        <f>120+T419</f>
        <v>41116</v>
      </c>
      <c r="W419" s="19">
        <f>365+V419</f>
        <v>41481</v>
      </c>
      <c r="X419" s="12"/>
    </row>
    <row r="420" spans="1:24" x14ac:dyDescent="0.3">
      <c r="A420" s="657"/>
      <c r="B420" s="689"/>
      <c r="C420" s="666"/>
      <c r="D420" s="666"/>
      <c r="E420" s="666"/>
      <c r="F420" s="715"/>
      <c r="G420" s="666"/>
      <c r="H420" s="666"/>
      <c r="I420" s="6" t="s">
        <v>50</v>
      </c>
      <c r="J420" s="159"/>
      <c r="K420" s="11"/>
      <c r="L420" s="156"/>
      <c r="M420" s="15"/>
      <c r="N420" s="19"/>
      <c r="O420" s="13"/>
      <c r="P420" s="4"/>
      <c r="Q420" s="6"/>
      <c r="R420" s="10"/>
      <c r="S420" s="19"/>
      <c r="T420" s="19"/>
      <c r="U420" s="19"/>
      <c r="V420" s="44">
        <f>T421+120</f>
        <v>41158</v>
      </c>
      <c r="W420" s="4">
        <f>V420+365</f>
        <v>41523</v>
      </c>
      <c r="X420" s="12"/>
    </row>
    <row r="421" spans="1:24" x14ac:dyDescent="0.3">
      <c r="A421" s="657"/>
      <c r="B421" s="689"/>
      <c r="C421" s="666"/>
      <c r="D421" s="666"/>
      <c r="E421" s="666"/>
      <c r="F421" s="715"/>
      <c r="G421" s="666"/>
      <c r="H421" s="666"/>
      <c r="I421" s="6" t="s">
        <v>44</v>
      </c>
      <c r="J421" s="19">
        <v>40892</v>
      </c>
      <c r="K421" s="19">
        <v>40897</v>
      </c>
      <c r="L421" s="11"/>
      <c r="M421" s="15">
        <v>40948</v>
      </c>
      <c r="N421" s="19">
        <v>40975</v>
      </c>
      <c r="O421" s="7">
        <v>41008</v>
      </c>
      <c r="P421" s="4">
        <v>41011</v>
      </c>
      <c r="Q421" s="23" t="s">
        <v>44</v>
      </c>
      <c r="R421" s="14">
        <f>1299874.9/S2</f>
        <v>74921.175338186382</v>
      </c>
      <c r="S421" s="19">
        <v>41029</v>
      </c>
      <c r="T421" s="13">
        <v>41038</v>
      </c>
      <c r="U421" s="19"/>
      <c r="V421" s="44"/>
      <c r="W421" s="19"/>
      <c r="X421" s="12"/>
    </row>
    <row r="422" spans="1:24" x14ac:dyDescent="0.3">
      <c r="A422" s="657"/>
      <c r="B422" s="689"/>
      <c r="C422" s="666"/>
      <c r="D422" s="666"/>
      <c r="E422" s="666"/>
      <c r="F422" s="715"/>
      <c r="G422" s="666"/>
      <c r="H422" s="666"/>
      <c r="I422" s="310"/>
      <c r="J422" s="311"/>
      <c r="K422" s="311"/>
      <c r="L422" s="312"/>
      <c r="M422" s="313"/>
      <c r="N422" s="311"/>
      <c r="O422" s="311"/>
      <c r="P422" s="311"/>
      <c r="Q422" s="310"/>
      <c r="R422" s="314"/>
      <c r="S422" s="315"/>
      <c r="T422" s="311"/>
      <c r="U422" s="315"/>
      <c r="V422" s="316"/>
      <c r="W422" s="316"/>
      <c r="X422" s="317"/>
    </row>
    <row r="423" spans="1:24" x14ac:dyDescent="0.3">
      <c r="A423" s="656" t="s">
        <v>351</v>
      </c>
      <c r="B423" s="688" t="s">
        <v>304</v>
      </c>
      <c r="C423" s="665"/>
      <c r="D423" s="665" t="s">
        <v>93</v>
      </c>
      <c r="E423" s="665" t="s">
        <v>40</v>
      </c>
      <c r="F423" s="714">
        <f>709639.266706091/6</f>
        <v>118273.21111768183</v>
      </c>
      <c r="G423" s="665" t="s">
        <v>94</v>
      </c>
      <c r="H423" s="665" t="s">
        <v>94</v>
      </c>
      <c r="I423" s="6" t="s">
        <v>43</v>
      </c>
      <c r="J423" s="19">
        <v>40775</v>
      </c>
      <c r="K423" s="19">
        <v>40780</v>
      </c>
      <c r="L423" s="7"/>
      <c r="M423" s="9">
        <v>40791</v>
      </c>
      <c r="N423" s="7">
        <v>40821</v>
      </c>
      <c r="O423" s="13">
        <f>N425+10</f>
        <v>40985</v>
      </c>
      <c r="P423" s="29">
        <f>O423+3</f>
        <v>40988</v>
      </c>
      <c r="Q423" s="23" t="s">
        <v>43</v>
      </c>
      <c r="R423" s="14"/>
      <c r="S423" s="13">
        <f>P423+1</f>
        <v>40989</v>
      </c>
      <c r="T423" s="19">
        <f>7+S423</f>
        <v>40996</v>
      </c>
      <c r="U423" s="19"/>
      <c r="V423" s="19">
        <f>120+T423</f>
        <v>41116</v>
      </c>
      <c r="W423" s="19">
        <f>365+V423</f>
        <v>41481</v>
      </c>
      <c r="X423" s="12"/>
    </row>
    <row r="424" spans="1:24" x14ac:dyDescent="0.3">
      <c r="A424" s="657"/>
      <c r="B424" s="689"/>
      <c r="C424" s="666"/>
      <c r="D424" s="666"/>
      <c r="E424" s="666"/>
      <c r="F424" s="715"/>
      <c r="G424" s="666"/>
      <c r="H424" s="666"/>
      <c r="I424" s="6" t="s">
        <v>50</v>
      </c>
      <c r="J424" s="159"/>
      <c r="K424" s="11"/>
      <c r="L424" s="156"/>
      <c r="M424" s="15"/>
      <c r="N424" s="19"/>
      <c r="O424" s="13"/>
      <c r="P424" s="4"/>
      <c r="Q424" s="6"/>
      <c r="R424" s="10"/>
      <c r="S424" s="19"/>
      <c r="T424" s="19"/>
      <c r="U424" s="19"/>
      <c r="V424" s="44">
        <f>T425+120</f>
        <v>41158</v>
      </c>
      <c r="W424" s="4">
        <f>V424+365</f>
        <v>41523</v>
      </c>
      <c r="X424" s="12"/>
    </row>
    <row r="425" spans="1:24" x14ac:dyDescent="0.3">
      <c r="A425" s="657"/>
      <c r="B425" s="689"/>
      <c r="C425" s="666"/>
      <c r="D425" s="666"/>
      <c r="E425" s="666"/>
      <c r="F425" s="715"/>
      <c r="G425" s="666"/>
      <c r="H425" s="666"/>
      <c r="I425" s="6" t="s">
        <v>44</v>
      </c>
      <c r="J425" s="19">
        <v>40892</v>
      </c>
      <c r="K425" s="19">
        <v>40897</v>
      </c>
      <c r="L425" s="11"/>
      <c r="M425" s="15">
        <v>40948</v>
      </c>
      <c r="N425" s="19">
        <v>40975</v>
      </c>
      <c r="O425" s="7">
        <v>41008</v>
      </c>
      <c r="P425" s="4">
        <v>41011</v>
      </c>
      <c r="Q425" s="23" t="s">
        <v>44</v>
      </c>
      <c r="R425" s="14">
        <f>1459858.53/S2</f>
        <v>84142.186986668501</v>
      </c>
      <c r="S425" s="19">
        <v>41029</v>
      </c>
      <c r="T425" s="13">
        <v>41038</v>
      </c>
      <c r="U425" s="19"/>
      <c r="V425" s="44"/>
      <c r="W425" s="19"/>
      <c r="X425" s="12"/>
    </row>
    <row r="426" spans="1:24" x14ac:dyDescent="0.3">
      <c r="A426" s="657"/>
      <c r="B426" s="689"/>
      <c r="C426" s="666"/>
      <c r="D426" s="666"/>
      <c r="E426" s="666"/>
      <c r="F426" s="715"/>
      <c r="G426" s="666"/>
      <c r="H426" s="666"/>
      <c r="I426" s="310"/>
      <c r="J426" s="311"/>
      <c r="K426" s="311"/>
      <c r="L426" s="312"/>
      <c r="M426" s="313"/>
      <c r="N426" s="311"/>
      <c r="O426" s="311"/>
      <c r="P426" s="311"/>
      <c r="Q426" s="310"/>
      <c r="R426" s="314"/>
      <c r="S426" s="315"/>
      <c r="T426" s="311"/>
      <c r="U426" s="315"/>
      <c r="V426" s="316"/>
      <c r="W426" s="316"/>
      <c r="X426" s="317"/>
    </row>
    <row r="427" spans="1:24" x14ac:dyDescent="0.3">
      <c r="A427" s="656" t="s">
        <v>740</v>
      </c>
      <c r="B427" s="688" t="s">
        <v>306</v>
      </c>
      <c r="C427" s="665"/>
      <c r="D427" s="665" t="s">
        <v>93</v>
      </c>
      <c r="E427" s="665" t="s">
        <v>40</v>
      </c>
      <c r="F427" s="714">
        <f>709639.266706091/6</f>
        <v>118273.21111768183</v>
      </c>
      <c r="G427" s="665" t="s">
        <v>94</v>
      </c>
      <c r="H427" s="665" t="s">
        <v>94</v>
      </c>
      <c r="I427" s="6" t="s">
        <v>43</v>
      </c>
      <c r="J427" s="19">
        <v>40775</v>
      </c>
      <c r="K427" s="19">
        <v>40780</v>
      </c>
      <c r="L427" s="7"/>
      <c r="M427" s="9">
        <v>40791</v>
      </c>
      <c r="N427" s="7">
        <v>40821</v>
      </c>
      <c r="O427" s="13">
        <f>N429+10</f>
        <v>40985</v>
      </c>
      <c r="P427" s="29">
        <f>O427+3</f>
        <v>40988</v>
      </c>
      <c r="Q427" s="23" t="s">
        <v>43</v>
      </c>
      <c r="R427" s="14"/>
      <c r="S427" s="13">
        <f>P427+1</f>
        <v>40989</v>
      </c>
      <c r="T427" s="19">
        <f>7+S427</f>
        <v>40996</v>
      </c>
      <c r="U427" s="19"/>
      <c r="V427" s="19">
        <f>120+T427</f>
        <v>41116</v>
      </c>
      <c r="W427" s="19">
        <f>365+V427</f>
        <v>41481</v>
      </c>
      <c r="X427" s="12"/>
    </row>
    <row r="428" spans="1:24" x14ac:dyDescent="0.3">
      <c r="A428" s="657"/>
      <c r="B428" s="689"/>
      <c r="C428" s="666"/>
      <c r="D428" s="666"/>
      <c r="E428" s="666"/>
      <c r="F428" s="715"/>
      <c r="G428" s="666"/>
      <c r="H428" s="666"/>
      <c r="I428" s="6" t="s">
        <v>50</v>
      </c>
      <c r="J428" s="159"/>
      <c r="K428" s="11"/>
      <c r="L428" s="156"/>
      <c r="M428" s="15"/>
      <c r="N428" s="19"/>
      <c r="O428" s="13"/>
      <c r="P428" s="4"/>
      <c r="Q428" s="6"/>
      <c r="R428" s="10"/>
      <c r="S428" s="19"/>
      <c r="T428" s="19"/>
      <c r="U428" s="19"/>
      <c r="V428" s="44">
        <f>T429+120</f>
        <v>41159</v>
      </c>
      <c r="W428" s="4">
        <f>V428+365</f>
        <v>41524</v>
      </c>
      <c r="X428" s="12"/>
    </row>
    <row r="429" spans="1:24" x14ac:dyDescent="0.3">
      <c r="A429" s="657"/>
      <c r="B429" s="689"/>
      <c r="C429" s="666"/>
      <c r="D429" s="666"/>
      <c r="E429" s="666"/>
      <c r="F429" s="715"/>
      <c r="G429" s="666"/>
      <c r="H429" s="666"/>
      <c r="I429" s="6" t="s">
        <v>44</v>
      </c>
      <c r="J429" s="19">
        <v>40892</v>
      </c>
      <c r="K429" s="19">
        <v>40897</v>
      </c>
      <c r="L429" s="11"/>
      <c r="M429" s="15">
        <v>40948</v>
      </c>
      <c r="N429" s="19">
        <v>40975</v>
      </c>
      <c r="O429" s="7">
        <v>41008</v>
      </c>
      <c r="P429" s="4">
        <v>41011</v>
      </c>
      <c r="Q429" s="23" t="s">
        <v>44</v>
      </c>
      <c r="R429" s="14">
        <f>359391.1/S2</f>
        <v>20714.303828840508</v>
      </c>
      <c r="S429" s="160">
        <f>T429-10</f>
        <v>41029</v>
      </c>
      <c r="T429" s="13">
        <v>41039</v>
      </c>
      <c r="U429" s="19"/>
      <c r="V429" s="44">
        <f>T429+120</f>
        <v>41159</v>
      </c>
      <c r="W429" s="19">
        <f>V429+365</f>
        <v>41524</v>
      </c>
      <c r="X429" s="12"/>
    </row>
    <row r="430" spans="1:24" x14ac:dyDescent="0.3">
      <c r="A430" s="657"/>
      <c r="B430" s="689"/>
      <c r="C430" s="666"/>
      <c r="D430" s="666"/>
      <c r="E430" s="666"/>
      <c r="F430" s="715"/>
      <c r="G430" s="666"/>
      <c r="H430" s="666"/>
      <c r="I430" s="310"/>
      <c r="J430" s="311"/>
      <c r="K430" s="311"/>
      <c r="L430" s="312"/>
      <c r="M430" s="313"/>
      <c r="N430" s="311"/>
      <c r="O430" s="311"/>
      <c r="P430" s="311"/>
      <c r="Q430" s="310"/>
      <c r="R430" s="314"/>
      <c r="S430" s="315"/>
      <c r="T430" s="311"/>
      <c r="U430" s="315"/>
      <c r="V430" s="316"/>
      <c r="W430" s="316"/>
      <c r="X430" s="317"/>
    </row>
    <row r="431" spans="1:24" ht="15" customHeight="1" x14ac:dyDescent="0.3">
      <c r="A431" s="656" t="s">
        <v>352</v>
      </c>
      <c r="B431" s="659" t="s">
        <v>308</v>
      </c>
      <c r="C431" s="665"/>
      <c r="D431" s="665" t="s">
        <v>93</v>
      </c>
      <c r="E431" s="665" t="s">
        <v>40</v>
      </c>
      <c r="F431" s="714">
        <f>709639.266706091/6</f>
        <v>118273.21111768183</v>
      </c>
      <c r="G431" s="665" t="s">
        <v>94</v>
      </c>
      <c r="H431" s="665" t="s">
        <v>94</v>
      </c>
      <c r="I431" s="6" t="s">
        <v>43</v>
      </c>
      <c r="J431" s="19">
        <v>40775</v>
      </c>
      <c r="K431" s="19">
        <v>40780</v>
      </c>
      <c r="L431" s="7"/>
      <c r="M431" s="9">
        <v>40791</v>
      </c>
      <c r="N431" s="7">
        <v>40821</v>
      </c>
      <c r="O431" s="13">
        <f>N431+10</f>
        <v>40831</v>
      </c>
      <c r="P431" s="29">
        <f>O431+3</f>
        <v>40834</v>
      </c>
      <c r="Q431" s="23" t="s">
        <v>43</v>
      </c>
      <c r="R431" s="14"/>
      <c r="S431" s="13">
        <f>P431+1</f>
        <v>40835</v>
      </c>
      <c r="T431" s="19">
        <f>7+S431</f>
        <v>40842</v>
      </c>
      <c r="U431" s="19"/>
      <c r="V431" s="19">
        <f>120+T431</f>
        <v>40962</v>
      </c>
      <c r="W431" s="19">
        <f>365+V431</f>
        <v>41327</v>
      </c>
      <c r="X431" s="12"/>
    </row>
    <row r="432" spans="1:24" ht="13.5" customHeight="1" x14ac:dyDescent="0.3">
      <c r="A432" s="657"/>
      <c r="B432" s="660"/>
      <c r="C432" s="666"/>
      <c r="D432" s="666"/>
      <c r="E432" s="666"/>
      <c r="F432" s="715"/>
      <c r="G432" s="666"/>
      <c r="H432" s="666"/>
      <c r="I432" s="6" t="s">
        <v>50</v>
      </c>
      <c r="J432" s="159"/>
      <c r="K432" s="11"/>
      <c r="L432" s="156"/>
      <c r="M432" s="15"/>
      <c r="N432" s="19"/>
      <c r="O432" s="13"/>
      <c r="P432" s="4"/>
      <c r="Q432" s="6"/>
      <c r="R432" s="10"/>
      <c r="S432" s="19"/>
      <c r="T432" s="19"/>
      <c r="U432" s="19"/>
      <c r="V432" s="161">
        <f>T433+120</f>
        <v>41163</v>
      </c>
      <c r="W432" s="19">
        <f>V432+365</f>
        <v>41528</v>
      </c>
      <c r="X432" s="12"/>
    </row>
    <row r="433" spans="1:24" ht="13.5" customHeight="1" x14ac:dyDescent="0.3">
      <c r="A433" s="657"/>
      <c r="B433" s="660"/>
      <c r="C433" s="666"/>
      <c r="D433" s="666"/>
      <c r="E433" s="666"/>
      <c r="F433" s="715"/>
      <c r="G433" s="666"/>
      <c r="H433" s="666"/>
      <c r="I433" s="6" t="s">
        <v>44</v>
      </c>
      <c r="J433" s="19">
        <v>40892</v>
      </c>
      <c r="K433" s="19">
        <v>40897</v>
      </c>
      <c r="L433" s="11"/>
      <c r="M433" s="15">
        <v>40948</v>
      </c>
      <c r="N433" s="19">
        <v>40975</v>
      </c>
      <c r="O433" s="7">
        <v>41008</v>
      </c>
      <c r="P433" s="4">
        <v>41011</v>
      </c>
      <c r="Q433" s="23" t="s">
        <v>44</v>
      </c>
      <c r="R433" s="14">
        <f>1356056.43/S2</f>
        <v>78159.322532118327</v>
      </c>
      <c r="S433" s="19">
        <v>41029</v>
      </c>
      <c r="T433" s="13">
        <v>41043</v>
      </c>
      <c r="U433" s="19"/>
      <c r="V433" s="44"/>
      <c r="W433" s="19"/>
      <c r="X433" s="12"/>
    </row>
    <row r="434" spans="1:24" ht="13.5" customHeight="1" x14ac:dyDescent="0.3">
      <c r="A434" s="658"/>
      <c r="B434" s="661"/>
      <c r="C434" s="667"/>
      <c r="D434" s="667"/>
      <c r="E434" s="667"/>
      <c r="F434" s="718"/>
      <c r="G434" s="667"/>
      <c r="H434" s="667"/>
      <c r="I434" s="310"/>
      <c r="J434" s="311"/>
      <c r="K434" s="311"/>
      <c r="L434" s="312"/>
      <c r="M434" s="313"/>
      <c r="N434" s="311"/>
      <c r="O434" s="311"/>
      <c r="P434" s="311"/>
      <c r="Q434" s="310"/>
      <c r="R434" s="314"/>
      <c r="S434" s="315"/>
      <c r="T434" s="311"/>
      <c r="U434" s="315"/>
      <c r="V434" s="316"/>
      <c r="W434" s="316"/>
      <c r="X434" s="317"/>
    </row>
    <row r="435" spans="1:24" x14ac:dyDescent="0.3">
      <c r="A435" s="656" t="s">
        <v>353</v>
      </c>
      <c r="B435" s="659" t="s">
        <v>354</v>
      </c>
      <c r="C435" s="665"/>
      <c r="D435" s="665" t="s">
        <v>93</v>
      </c>
      <c r="E435" s="665" t="s">
        <v>40</v>
      </c>
      <c r="F435" s="714">
        <f>709639.266706091/6</f>
        <v>118273.21111768183</v>
      </c>
      <c r="G435" s="665" t="s">
        <v>94</v>
      </c>
      <c r="H435" s="665" t="s">
        <v>94</v>
      </c>
      <c r="I435" s="6" t="s">
        <v>43</v>
      </c>
      <c r="J435" s="19">
        <v>40775</v>
      </c>
      <c r="K435" s="19">
        <v>40780</v>
      </c>
      <c r="L435" s="7"/>
      <c r="M435" s="9">
        <v>40791</v>
      </c>
      <c r="N435" s="7">
        <v>40821</v>
      </c>
      <c r="O435" s="13">
        <f>N437+10</f>
        <v>40985</v>
      </c>
      <c r="P435" s="29">
        <f>O435+3</f>
        <v>40988</v>
      </c>
      <c r="Q435" s="23" t="s">
        <v>43</v>
      </c>
      <c r="R435" s="14"/>
      <c r="S435" s="13">
        <f>P435+1</f>
        <v>40989</v>
      </c>
      <c r="T435" s="19">
        <f>7+S435</f>
        <v>40996</v>
      </c>
      <c r="U435" s="19"/>
      <c r="V435" s="19">
        <f>120+T435</f>
        <v>41116</v>
      </c>
      <c r="W435" s="19">
        <f>365+V435</f>
        <v>41481</v>
      </c>
      <c r="X435" s="12"/>
    </row>
    <row r="436" spans="1:24" x14ac:dyDescent="0.3">
      <c r="A436" s="657"/>
      <c r="B436" s="660"/>
      <c r="C436" s="666"/>
      <c r="D436" s="666"/>
      <c r="E436" s="666"/>
      <c r="F436" s="715"/>
      <c r="G436" s="666"/>
      <c r="H436" s="666"/>
      <c r="I436" s="6" t="s">
        <v>50</v>
      </c>
      <c r="J436" s="159"/>
      <c r="K436" s="11"/>
      <c r="L436" s="156"/>
      <c r="M436" s="15">
        <v>40948</v>
      </c>
      <c r="N436" s="19">
        <f>M436+30</f>
        <v>40978</v>
      </c>
      <c r="O436" s="13">
        <f>N436+15</f>
        <v>40993</v>
      </c>
      <c r="P436" s="4"/>
      <c r="Q436" s="6"/>
      <c r="R436" s="10"/>
      <c r="S436" s="19">
        <v>41120</v>
      </c>
      <c r="T436" s="19">
        <f>S436+20</f>
        <v>41140</v>
      </c>
      <c r="U436" s="19"/>
      <c r="V436" s="161">
        <f>T437+120</f>
        <v>120</v>
      </c>
      <c r="W436" s="19">
        <f>V436+365</f>
        <v>485</v>
      </c>
      <c r="X436" s="12"/>
    </row>
    <row r="437" spans="1:24" x14ac:dyDescent="0.3">
      <c r="A437" s="657"/>
      <c r="B437" s="660"/>
      <c r="C437" s="666"/>
      <c r="D437" s="666"/>
      <c r="E437" s="666"/>
      <c r="F437" s="715"/>
      <c r="G437" s="666"/>
      <c r="H437" s="666"/>
      <c r="I437" s="6" t="s">
        <v>44</v>
      </c>
      <c r="J437" s="19">
        <v>40892</v>
      </c>
      <c r="K437" s="19">
        <v>40897</v>
      </c>
      <c r="L437" s="11"/>
      <c r="M437" s="15">
        <v>40948</v>
      </c>
      <c r="N437" s="19">
        <v>40975</v>
      </c>
      <c r="O437" s="7">
        <v>41008</v>
      </c>
      <c r="P437" s="4">
        <v>41011</v>
      </c>
      <c r="Q437" s="23" t="s">
        <v>44</v>
      </c>
      <c r="R437" s="14"/>
      <c r="S437" s="19"/>
      <c r="T437" s="13"/>
      <c r="U437" s="19"/>
      <c r="V437" s="44"/>
      <c r="W437" s="19"/>
      <c r="X437" s="12"/>
    </row>
    <row r="438" spans="1:24" x14ac:dyDescent="0.3">
      <c r="A438" s="658"/>
      <c r="B438" s="661"/>
      <c r="C438" s="667"/>
      <c r="D438" s="667"/>
      <c r="E438" s="667"/>
      <c r="F438" s="718"/>
      <c r="G438" s="667"/>
      <c r="H438" s="667"/>
      <c r="I438" s="310"/>
      <c r="J438" s="311"/>
      <c r="K438" s="311"/>
      <c r="L438" s="312"/>
      <c r="M438" s="313"/>
      <c r="N438" s="311"/>
      <c r="O438" s="311"/>
      <c r="P438" s="311"/>
      <c r="Q438" s="310"/>
      <c r="R438" s="314"/>
      <c r="S438" s="315"/>
      <c r="T438" s="311"/>
      <c r="U438" s="315"/>
      <c r="V438" s="316"/>
      <c r="W438" s="316"/>
      <c r="X438" s="317"/>
    </row>
    <row r="439" spans="1:24" x14ac:dyDescent="0.3">
      <c r="A439" s="656" t="s">
        <v>355</v>
      </c>
      <c r="B439" s="659" t="s">
        <v>356</v>
      </c>
      <c r="C439" s="665"/>
      <c r="D439" s="665" t="s">
        <v>93</v>
      </c>
      <c r="E439" s="665" t="s">
        <v>40</v>
      </c>
      <c r="F439" s="714">
        <f>709639.266706091/6</f>
        <v>118273.21111768183</v>
      </c>
      <c r="G439" s="665" t="s">
        <v>94</v>
      </c>
      <c r="H439" s="665" t="s">
        <v>94</v>
      </c>
      <c r="I439" s="6" t="s">
        <v>43</v>
      </c>
      <c r="J439" s="19">
        <v>40775</v>
      </c>
      <c r="K439" s="19">
        <v>40780</v>
      </c>
      <c r="L439" s="7"/>
      <c r="M439" s="9">
        <v>40791</v>
      </c>
      <c r="N439" s="7">
        <v>40821</v>
      </c>
      <c r="O439" s="13">
        <f>N441+10</f>
        <v>40985</v>
      </c>
      <c r="P439" s="29">
        <f>O439+3</f>
        <v>40988</v>
      </c>
      <c r="Q439" s="23" t="s">
        <v>43</v>
      </c>
      <c r="R439" s="14"/>
      <c r="S439" s="13">
        <f>P439+1</f>
        <v>40989</v>
      </c>
      <c r="T439" s="19">
        <f>7+S439</f>
        <v>40996</v>
      </c>
      <c r="U439" s="19"/>
      <c r="V439" s="19">
        <f>120+T439</f>
        <v>41116</v>
      </c>
      <c r="W439" s="19">
        <f>365+V439</f>
        <v>41481</v>
      </c>
      <c r="X439" s="12"/>
    </row>
    <row r="440" spans="1:24" x14ac:dyDescent="0.3">
      <c r="A440" s="657"/>
      <c r="B440" s="660"/>
      <c r="C440" s="666"/>
      <c r="D440" s="666"/>
      <c r="E440" s="666"/>
      <c r="F440" s="715"/>
      <c r="G440" s="666"/>
      <c r="H440" s="666"/>
      <c r="I440" s="6" t="s">
        <v>50</v>
      </c>
      <c r="J440" s="159"/>
      <c r="K440" s="11"/>
      <c r="L440" s="156"/>
      <c r="M440" s="15"/>
      <c r="N440" s="19"/>
      <c r="O440" s="13"/>
      <c r="P440" s="4"/>
      <c r="Q440" s="6"/>
      <c r="R440" s="10"/>
      <c r="S440" s="19"/>
      <c r="T440" s="19"/>
      <c r="U440" s="19"/>
      <c r="V440" s="161">
        <f>T441+120</f>
        <v>41160</v>
      </c>
      <c r="W440" s="19">
        <f>V440+365</f>
        <v>41525</v>
      </c>
      <c r="X440" s="12"/>
    </row>
    <row r="441" spans="1:24" x14ac:dyDescent="0.3">
      <c r="A441" s="657"/>
      <c r="B441" s="660"/>
      <c r="C441" s="666"/>
      <c r="D441" s="666"/>
      <c r="E441" s="666"/>
      <c r="F441" s="715"/>
      <c r="G441" s="666"/>
      <c r="H441" s="666"/>
      <c r="I441" s="6" t="s">
        <v>44</v>
      </c>
      <c r="J441" s="19">
        <v>40892</v>
      </c>
      <c r="K441" s="19">
        <v>40897</v>
      </c>
      <c r="L441" s="11"/>
      <c r="M441" s="15">
        <v>40948</v>
      </c>
      <c r="N441" s="19">
        <v>40975</v>
      </c>
      <c r="O441" s="7">
        <v>41008</v>
      </c>
      <c r="P441" s="4">
        <v>41011</v>
      </c>
      <c r="Q441" s="23" t="s">
        <v>44</v>
      </c>
      <c r="R441" s="14">
        <f>359391.1/S2</f>
        <v>20714.303828840508</v>
      </c>
      <c r="S441" s="160">
        <f>T441-10</f>
        <v>41030</v>
      </c>
      <c r="T441" s="13">
        <v>41040</v>
      </c>
      <c r="U441" s="19"/>
      <c r="V441" s="44"/>
      <c r="W441" s="19"/>
      <c r="X441" s="12"/>
    </row>
    <row r="442" spans="1:24" x14ac:dyDescent="0.3">
      <c r="A442" s="658"/>
      <c r="B442" s="661"/>
      <c r="C442" s="667"/>
      <c r="D442" s="667"/>
      <c r="E442" s="667"/>
      <c r="F442" s="718"/>
      <c r="G442" s="667"/>
      <c r="H442" s="667"/>
      <c r="I442" s="310"/>
      <c r="J442" s="311"/>
      <c r="K442" s="311"/>
      <c r="L442" s="312"/>
      <c r="M442" s="313"/>
      <c r="N442" s="311"/>
      <c r="O442" s="311"/>
      <c r="P442" s="311"/>
      <c r="Q442" s="310"/>
      <c r="R442" s="314"/>
      <c r="S442" s="315"/>
      <c r="T442" s="311"/>
      <c r="U442" s="315"/>
      <c r="V442" s="316"/>
      <c r="W442" s="316"/>
      <c r="X442" s="317"/>
    </row>
    <row r="443" spans="1:24" x14ac:dyDescent="0.3">
      <c r="A443" s="656" t="s">
        <v>357</v>
      </c>
      <c r="B443" s="659" t="s">
        <v>358</v>
      </c>
      <c r="C443" s="665"/>
      <c r="D443" s="665" t="s">
        <v>93</v>
      </c>
      <c r="E443" s="665" t="s">
        <v>40</v>
      </c>
      <c r="F443" s="714">
        <f>709639.266706091/6</f>
        <v>118273.21111768183</v>
      </c>
      <c r="G443" s="665" t="s">
        <v>94</v>
      </c>
      <c r="H443" s="665" t="s">
        <v>94</v>
      </c>
      <c r="I443" s="6" t="s">
        <v>43</v>
      </c>
      <c r="J443" s="19">
        <v>40775</v>
      </c>
      <c r="K443" s="19">
        <v>40780</v>
      </c>
      <c r="L443" s="7"/>
      <c r="M443" s="9">
        <v>40791</v>
      </c>
      <c r="N443" s="7">
        <v>40821</v>
      </c>
      <c r="O443" s="13">
        <f>N445+10</f>
        <v>40985</v>
      </c>
      <c r="P443" s="29">
        <f>O443+3</f>
        <v>40988</v>
      </c>
      <c r="Q443" s="23" t="s">
        <v>43</v>
      </c>
      <c r="R443" s="14"/>
      <c r="S443" s="13">
        <f>P443+1</f>
        <v>40989</v>
      </c>
      <c r="T443" s="19">
        <f>7+S443</f>
        <v>40996</v>
      </c>
      <c r="U443" s="19"/>
      <c r="V443" s="19">
        <f>120+T443</f>
        <v>41116</v>
      </c>
      <c r="W443" s="19">
        <f>365+V443</f>
        <v>41481</v>
      </c>
      <c r="X443" s="12"/>
    </row>
    <row r="444" spans="1:24" x14ac:dyDescent="0.3">
      <c r="A444" s="657"/>
      <c r="B444" s="660"/>
      <c r="C444" s="666"/>
      <c r="D444" s="666"/>
      <c r="E444" s="666"/>
      <c r="F444" s="715"/>
      <c r="G444" s="666"/>
      <c r="H444" s="666"/>
      <c r="I444" s="6" t="s">
        <v>50</v>
      </c>
      <c r="J444" s="159"/>
      <c r="K444" s="11"/>
      <c r="L444" s="156"/>
      <c r="M444" s="15"/>
      <c r="N444" s="19"/>
      <c r="O444" s="13"/>
      <c r="P444" s="4"/>
      <c r="Q444" s="6"/>
      <c r="R444" s="10"/>
      <c r="S444" s="19"/>
      <c r="T444" s="19"/>
      <c r="U444" s="19"/>
      <c r="V444" s="161">
        <f>S445+120</f>
        <v>41179</v>
      </c>
      <c r="W444" s="19">
        <f>V444+365</f>
        <v>41544</v>
      </c>
      <c r="X444" s="12"/>
    </row>
    <row r="445" spans="1:24" x14ac:dyDescent="0.3">
      <c r="A445" s="657"/>
      <c r="B445" s="660"/>
      <c r="C445" s="666"/>
      <c r="D445" s="666"/>
      <c r="E445" s="666"/>
      <c r="F445" s="715"/>
      <c r="G445" s="666"/>
      <c r="H445" s="666"/>
      <c r="I445" s="6" t="s">
        <v>44</v>
      </c>
      <c r="J445" s="19">
        <v>40892</v>
      </c>
      <c r="K445" s="19">
        <v>40897</v>
      </c>
      <c r="L445" s="11"/>
      <c r="M445" s="15">
        <v>40948</v>
      </c>
      <c r="N445" s="19">
        <v>40975</v>
      </c>
      <c r="O445" s="7">
        <v>41008</v>
      </c>
      <c r="P445" s="4">
        <v>41011</v>
      </c>
      <c r="Q445" s="23" t="s">
        <v>44</v>
      </c>
      <c r="R445" s="14">
        <f>2093625.37/S2</f>
        <v>120670.74565271269</v>
      </c>
      <c r="S445" s="19">
        <v>41059</v>
      </c>
      <c r="T445" s="13">
        <v>41043</v>
      </c>
      <c r="U445" s="19"/>
      <c r="V445" s="44"/>
      <c r="W445" s="19"/>
      <c r="X445" s="12"/>
    </row>
    <row r="446" spans="1:24" x14ac:dyDescent="0.3">
      <c r="A446" s="658"/>
      <c r="B446" s="661"/>
      <c r="C446" s="667"/>
      <c r="D446" s="667"/>
      <c r="E446" s="667"/>
      <c r="F446" s="718"/>
      <c r="G446" s="667"/>
      <c r="H446" s="667"/>
      <c r="I446" s="310"/>
      <c r="J446" s="311"/>
      <c r="K446" s="311"/>
      <c r="L446" s="312"/>
      <c r="M446" s="313"/>
      <c r="N446" s="311"/>
      <c r="O446" s="311"/>
      <c r="P446" s="311"/>
      <c r="Q446" s="310"/>
      <c r="R446" s="314"/>
      <c r="S446" s="315"/>
      <c r="T446" s="311"/>
      <c r="U446" s="315"/>
      <c r="V446" s="316"/>
      <c r="W446" s="316"/>
      <c r="X446" s="317"/>
    </row>
    <row r="447" spans="1:24" x14ac:dyDescent="0.3">
      <c r="A447" s="656" t="s">
        <v>359</v>
      </c>
      <c r="B447" s="659" t="s">
        <v>314</v>
      </c>
      <c r="C447" s="665"/>
      <c r="D447" s="665" t="s">
        <v>93</v>
      </c>
      <c r="E447" s="665" t="s">
        <v>40</v>
      </c>
      <c r="F447" s="714">
        <f>709639.266706091/6</f>
        <v>118273.21111768183</v>
      </c>
      <c r="G447" s="665" t="s">
        <v>94</v>
      </c>
      <c r="H447" s="665" t="s">
        <v>94</v>
      </c>
      <c r="I447" s="6" t="s">
        <v>43</v>
      </c>
      <c r="J447" s="19">
        <v>40775</v>
      </c>
      <c r="K447" s="19">
        <v>40780</v>
      </c>
      <c r="L447" s="7"/>
      <c r="M447" s="9">
        <v>40791</v>
      </c>
      <c r="N447" s="7">
        <v>40821</v>
      </c>
      <c r="O447" s="13">
        <f>N449+10</f>
        <v>40985</v>
      </c>
      <c r="P447" s="29">
        <f>O447+3</f>
        <v>40988</v>
      </c>
      <c r="Q447" s="23" t="s">
        <v>43</v>
      </c>
      <c r="R447" s="14"/>
      <c r="S447" s="13">
        <f>P447+1</f>
        <v>40989</v>
      </c>
      <c r="T447" s="19">
        <f>7+S447</f>
        <v>40996</v>
      </c>
      <c r="U447" s="19"/>
      <c r="V447" s="19">
        <f>120+T447</f>
        <v>41116</v>
      </c>
      <c r="W447" s="19">
        <f>365+V447</f>
        <v>41481</v>
      </c>
      <c r="X447" s="12"/>
    </row>
    <row r="448" spans="1:24" x14ac:dyDescent="0.3">
      <c r="A448" s="657"/>
      <c r="B448" s="660"/>
      <c r="C448" s="666"/>
      <c r="D448" s="666"/>
      <c r="E448" s="666"/>
      <c r="F448" s="715"/>
      <c r="G448" s="666"/>
      <c r="H448" s="666"/>
      <c r="I448" s="6" t="s">
        <v>50</v>
      </c>
      <c r="J448" s="159"/>
      <c r="K448" s="11"/>
      <c r="L448" s="156"/>
      <c r="M448" s="15"/>
      <c r="N448" s="19"/>
      <c r="O448" s="13"/>
      <c r="P448" s="4"/>
      <c r="Q448" s="6"/>
      <c r="R448" s="10"/>
      <c r="S448" s="19"/>
      <c r="T448" s="19"/>
      <c r="U448" s="19"/>
      <c r="V448" s="161">
        <f>T449+120</f>
        <v>41158</v>
      </c>
      <c r="W448" s="19">
        <f>V448+365</f>
        <v>41523</v>
      </c>
      <c r="X448" s="12"/>
    </row>
    <row r="449" spans="1:24" x14ac:dyDescent="0.3">
      <c r="A449" s="657"/>
      <c r="B449" s="660"/>
      <c r="C449" s="666"/>
      <c r="D449" s="666"/>
      <c r="E449" s="666"/>
      <c r="F449" s="715"/>
      <c r="G449" s="666"/>
      <c r="H449" s="666"/>
      <c r="I449" s="6" t="s">
        <v>44</v>
      </c>
      <c r="J449" s="19">
        <v>40892</v>
      </c>
      <c r="K449" s="19">
        <v>40897</v>
      </c>
      <c r="L449" s="11"/>
      <c r="M449" s="15">
        <v>40948</v>
      </c>
      <c r="N449" s="19">
        <v>40975</v>
      </c>
      <c r="O449" s="7">
        <v>41008</v>
      </c>
      <c r="P449" s="4">
        <v>41011</v>
      </c>
      <c r="Q449" s="23" t="s">
        <v>44</v>
      </c>
      <c r="R449" s="14">
        <f>945177.01/S2</f>
        <v>54477.375085735359</v>
      </c>
      <c r="S449" s="19">
        <v>41059</v>
      </c>
      <c r="T449" s="13">
        <v>41038</v>
      </c>
      <c r="U449" s="19"/>
      <c r="V449" s="44"/>
      <c r="W449" s="19"/>
      <c r="X449" s="12"/>
    </row>
    <row r="450" spans="1:24" x14ac:dyDescent="0.3">
      <c r="A450" s="658"/>
      <c r="B450" s="661"/>
      <c r="C450" s="667"/>
      <c r="D450" s="667"/>
      <c r="E450" s="667"/>
      <c r="F450" s="718"/>
      <c r="G450" s="667"/>
      <c r="H450" s="667"/>
      <c r="I450" s="310"/>
      <c r="J450" s="311"/>
      <c r="K450" s="311"/>
      <c r="L450" s="312"/>
      <c r="M450" s="313"/>
      <c r="N450" s="311"/>
      <c r="O450" s="311"/>
      <c r="P450" s="311"/>
      <c r="Q450" s="310"/>
      <c r="R450" s="314"/>
      <c r="S450" s="315"/>
      <c r="T450" s="311"/>
      <c r="U450" s="315"/>
      <c r="V450" s="316"/>
      <c r="W450" s="316"/>
      <c r="X450" s="317"/>
    </row>
    <row r="451" spans="1:24" x14ac:dyDescent="0.3">
      <c r="A451" s="656" t="s">
        <v>360</v>
      </c>
      <c r="B451" s="659" t="s">
        <v>361</v>
      </c>
      <c r="C451" s="665"/>
      <c r="D451" s="665" t="s">
        <v>93</v>
      </c>
      <c r="E451" s="665" t="s">
        <v>40</v>
      </c>
      <c r="F451" s="714">
        <f>709639.266706091/6</f>
        <v>118273.21111768183</v>
      </c>
      <c r="G451" s="665" t="s">
        <v>94</v>
      </c>
      <c r="H451" s="665" t="s">
        <v>94</v>
      </c>
      <c r="I451" s="6" t="s">
        <v>43</v>
      </c>
      <c r="J451" s="19">
        <v>40775</v>
      </c>
      <c r="K451" s="19">
        <v>40780</v>
      </c>
      <c r="L451" s="7"/>
      <c r="M451" s="9">
        <v>40791</v>
      </c>
      <c r="N451" s="7">
        <v>40821</v>
      </c>
      <c r="O451" s="13">
        <f>N453+10</f>
        <v>40985</v>
      </c>
      <c r="P451" s="29">
        <f>O451+3</f>
        <v>40988</v>
      </c>
      <c r="Q451" s="23" t="s">
        <v>43</v>
      </c>
      <c r="R451" s="14"/>
      <c r="S451" s="13">
        <f>P451+1</f>
        <v>40989</v>
      </c>
      <c r="T451" s="19">
        <f>7+S451</f>
        <v>40996</v>
      </c>
      <c r="U451" s="19"/>
      <c r="V451" s="19">
        <f>120+T451</f>
        <v>41116</v>
      </c>
      <c r="W451" s="19">
        <f>365+V451</f>
        <v>41481</v>
      </c>
      <c r="X451" s="12"/>
    </row>
    <row r="452" spans="1:24" x14ac:dyDescent="0.3">
      <c r="A452" s="657"/>
      <c r="B452" s="660"/>
      <c r="C452" s="666"/>
      <c r="D452" s="666"/>
      <c r="E452" s="666"/>
      <c r="F452" s="715"/>
      <c r="G452" s="666"/>
      <c r="H452" s="666"/>
      <c r="I452" s="6" t="s">
        <v>50</v>
      </c>
      <c r="J452" s="159"/>
      <c r="K452" s="11"/>
      <c r="L452" s="156"/>
      <c r="M452" s="15"/>
      <c r="N452" s="19"/>
      <c r="O452" s="13"/>
      <c r="P452" s="4"/>
      <c r="Q452" s="6"/>
      <c r="R452" s="10"/>
      <c r="S452" s="19"/>
      <c r="T452" s="19"/>
      <c r="U452" s="19"/>
      <c r="V452" s="161">
        <f>T453+120</f>
        <v>41173</v>
      </c>
      <c r="W452" s="19">
        <f>V452+365</f>
        <v>41538</v>
      </c>
      <c r="X452" s="12"/>
    </row>
    <row r="453" spans="1:24" x14ac:dyDescent="0.3">
      <c r="A453" s="657"/>
      <c r="B453" s="660"/>
      <c r="C453" s="666"/>
      <c r="D453" s="666"/>
      <c r="E453" s="666"/>
      <c r="F453" s="715"/>
      <c r="G453" s="666"/>
      <c r="H453" s="666"/>
      <c r="I453" s="6" t="s">
        <v>44</v>
      </c>
      <c r="J453" s="19">
        <v>40892</v>
      </c>
      <c r="K453" s="19">
        <v>40897</v>
      </c>
      <c r="L453" s="11"/>
      <c r="M453" s="15">
        <v>40948</v>
      </c>
      <c r="N453" s="19">
        <v>40975</v>
      </c>
      <c r="O453" s="7">
        <v>41008</v>
      </c>
      <c r="P453" s="4">
        <v>41011</v>
      </c>
      <c r="Q453" s="23" t="s">
        <v>44</v>
      </c>
      <c r="R453" s="14">
        <f>2045709.13/S2</f>
        <v>117908.98679531293</v>
      </c>
      <c r="S453" s="19">
        <v>41029</v>
      </c>
      <c r="T453" s="13">
        <v>41053</v>
      </c>
      <c r="U453" s="19"/>
      <c r="V453" s="44"/>
      <c r="W453" s="19"/>
      <c r="X453" s="12"/>
    </row>
    <row r="454" spans="1:24" x14ac:dyDescent="0.3">
      <c r="A454" s="658"/>
      <c r="B454" s="661"/>
      <c r="C454" s="667"/>
      <c r="D454" s="667"/>
      <c r="E454" s="667"/>
      <c r="F454" s="718"/>
      <c r="G454" s="667"/>
      <c r="H454" s="667"/>
      <c r="I454" s="310"/>
      <c r="J454" s="311"/>
      <c r="K454" s="311"/>
      <c r="L454" s="312"/>
      <c r="M454" s="313"/>
      <c r="N454" s="311"/>
      <c r="O454" s="311"/>
      <c r="P454" s="311"/>
      <c r="Q454" s="310"/>
      <c r="R454" s="314"/>
      <c r="S454" s="315"/>
      <c r="T454" s="311"/>
      <c r="U454" s="315"/>
      <c r="V454" s="316"/>
      <c r="W454" s="316"/>
      <c r="X454" s="317"/>
    </row>
    <row r="455" spans="1:24" x14ac:dyDescent="0.3">
      <c r="A455" s="656" t="s">
        <v>362</v>
      </c>
      <c r="B455" s="659" t="s">
        <v>363</v>
      </c>
      <c r="C455" s="665"/>
      <c r="D455" s="665" t="s">
        <v>93</v>
      </c>
      <c r="E455" s="665" t="s">
        <v>40</v>
      </c>
      <c r="F455" s="714">
        <f>709639.266706091/6</f>
        <v>118273.21111768183</v>
      </c>
      <c r="G455" s="665" t="s">
        <v>94</v>
      </c>
      <c r="H455" s="665" t="s">
        <v>94</v>
      </c>
      <c r="I455" s="6" t="s">
        <v>43</v>
      </c>
      <c r="J455" s="19">
        <v>40775</v>
      </c>
      <c r="K455" s="19">
        <v>40780</v>
      </c>
      <c r="L455" s="7"/>
      <c r="M455" s="9">
        <v>40791</v>
      </c>
      <c r="N455" s="7">
        <v>40821</v>
      </c>
      <c r="O455" s="13">
        <f>N457+10</f>
        <v>40985</v>
      </c>
      <c r="P455" s="29">
        <f>O455+3</f>
        <v>40988</v>
      </c>
      <c r="Q455" s="23" t="s">
        <v>43</v>
      </c>
      <c r="R455" s="14"/>
      <c r="S455" s="13">
        <f>P455+1</f>
        <v>40989</v>
      </c>
      <c r="T455" s="19">
        <f>7+S455</f>
        <v>40996</v>
      </c>
      <c r="U455" s="19"/>
      <c r="V455" s="19">
        <f>120+T455</f>
        <v>41116</v>
      </c>
      <c r="W455" s="19">
        <f>365+V455</f>
        <v>41481</v>
      </c>
      <c r="X455" s="12"/>
    </row>
    <row r="456" spans="1:24" x14ac:dyDescent="0.3">
      <c r="A456" s="657"/>
      <c r="B456" s="660"/>
      <c r="C456" s="666"/>
      <c r="D456" s="666"/>
      <c r="E456" s="666"/>
      <c r="F456" s="715"/>
      <c r="G456" s="666"/>
      <c r="H456" s="666"/>
      <c r="I456" s="6" t="s">
        <v>50</v>
      </c>
      <c r="J456" s="159"/>
      <c r="K456" s="11"/>
      <c r="L456" s="156"/>
      <c r="M456" s="15"/>
      <c r="N456" s="19"/>
      <c r="O456" s="13"/>
      <c r="P456" s="4"/>
      <c r="Q456" s="6"/>
      <c r="R456" s="10"/>
      <c r="S456" s="19"/>
      <c r="T456" s="19"/>
      <c r="U456" s="19"/>
      <c r="V456" s="161">
        <f>T457+120</f>
        <v>41158</v>
      </c>
      <c r="W456" s="19">
        <f>V456+365</f>
        <v>41523</v>
      </c>
      <c r="X456" s="12"/>
    </row>
    <row r="457" spans="1:24" x14ac:dyDescent="0.3">
      <c r="A457" s="657"/>
      <c r="B457" s="660"/>
      <c r="C457" s="666"/>
      <c r="D457" s="666"/>
      <c r="E457" s="666"/>
      <c r="F457" s="715"/>
      <c r="G457" s="666"/>
      <c r="H457" s="666"/>
      <c r="I457" s="6" t="s">
        <v>44</v>
      </c>
      <c r="J457" s="19">
        <v>40892</v>
      </c>
      <c r="K457" s="19">
        <v>40897</v>
      </c>
      <c r="L457" s="11"/>
      <c r="M457" s="15">
        <v>40948</v>
      </c>
      <c r="N457" s="19">
        <v>40975</v>
      </c>
      <c r="O457" s="7">
        <v>41008</v>
      </c>
      <c r="P457" s="4">
        <v>41011</v>
      </c>
      <c r="Q457" s="23" t="s">
        <v>44</v>
      </c>
      <c r="R457" s="14">
        <f>1807731.63/S2</f>
        <v>104192.62531772516</v>
      </c>
      <c r="S457" s="19">
        <v>41029</v>
      </c>
      <c r="T457" s="13">
        <v>41038</v>
      </c>
      <c r="U457" s="19"/>
      <c r="V457" s="44"/>
      <c r="W457" s="19"/>
      <c r="X457" s="12"/>
    </row>
    <row r="458" spans="1:24" x14ac:dyDescent="0.3">
      <c r="A458" s="658"/>
      <c r="B458" s="661"/>
      <c r="C458" s="667"/>
      <c r="D458" s="667"/>
      <c r="E458" s="667"/>
      <c r="F458" s="718"/>
      <c r="G458" s="667"/>
      <c r="H458" s="667"/>
      <c r="I458" s="310"/>
      <c r="J458" s="311"/>
      <c r="K458" s="311"/>
      <c r="L458" s="312"/>
      <c r="M458" s="313"/>
      <c r="N458" s="311"/>
      <c r="O458" s="311"/>
      <c r="P458" s="311"/>
      <c r="Q458" s="310"/>
      <c r="R458" s="314"/>
      <c r="S458" s="315"/>
      <c r="T458" s="311"/>
      <c r="U458" s="315"/>
      <c r="V458" s="316"/>
      <c r="W458" s="316"/>
      <c r="X458" s="317"/>
    </row>
    <row r="459" spans="1:24" x14ac:dyDescent="0.3">
      <c r="A459" s="656" t="s">
        <v>364</v>
      </c>
      <c r="B459" s="659" t="s">
        <v>365</v>
      </c>
      <c r="C459" s="665"/>
      <c r="D459" s="665" t="s">
        <v>93</v>
      </c>
      <c r="E459" s="665" t="s">
        <v>40</v>
      </c>
      <c r="F459" s="714">
        <f>709639.266706091/6</f>
        <v>118273.21111768183</v>
      </c>
      <c r="G459" s="665" t="s">
        <v>94</v>
      </c>
      <c r="H459" s="665" t="s">
        <v>94</v>
      </c>
      <c r="I459" s="6" t="s">
        <v>43</v>
      </c>
      <c r="J459" s="19">
        <v>40775</v>
      </c>
      <c r="K459" s="19">
        <v>40780</v>
      </c>
      <c r="L459" s="7"/>
      <c r="M459" s="9">
        <v>40791</v>
      </c>
      <c r="N459" s="7">
        <v>40821</v>
      </c>
      <c r="O459" s="13">
        <f>N461+10</f>
        <v>40985</v>
      </c>
      <c r="P459" s="29">
        <f>O459+3</f>
        <v>40988</v>
      </c>
      <c r="Q459" s="23" t="s">
        <v>43</v>
      </c>
      <c r="R459" s="14"/>
      <c r="S459" s="13">
        <f>P459+1</f>
        <v>40989</v>
      </c>
      <c r="T459" s="19">
        <f>7+S459</f>
        <v>40996</v>
      </c>
      <c r="U459" s="19"/>
      <c r="V459" s="19">
        <f>120+T459</f>
        <v>41116</v>
      </c>
      <c r="W459" s="19">
        <f>365+V459</f>
        <v>41481</v>
      </c>
      <c r="X459" s="12"/>
    </row>
    <row r="460" spans="1:24" x14ac:dyDescent="0.3">
      <c r="A460" s="657"/>
      <c r="B460" s="660"/>
      <c r="C460" s="666"/>
      <c r="D460" s="666"/>
      <c r="E460" s="666"/>
      <c r="F460" s="715"/>
      <c r="G460" s="666"/>
      <c r="H460" s="666"/>
      <c r="I460" s="6" t="s">
        <v>50</v>
      </c>
      <c r="J460" s="159"/>
      <c r="K460" s="11"/>
      <c r="L460" s="156"/>
      <c r="M460" s="15"/>
      <c r="N460" s="19"/>
      <c r="O460" s="13"/>
      <c r="P460" s="4"/>
      <c r="Q460" s="6"/>
      <c r="R460" s="10"/>
      <c r="S460" s="19"/>
      <c r="T460" s="19"/>
      <c r="U460" s="19"/>
      <c r="V460" s="161">
        <f>T461+120</f>
        <v>41166</v>
      </c>
      <c r="W460" s="19">
        <f>V460+365</f>
        <v>41531</v>
      </c>
      <c r="X460" s="12"/>
    </row>
    <row r="461" spans="1:24" x14ac:dyDescent="0.3">
      <c r="A461" s="657"/>
      <c r="B461" s="660"/>
      <c r="C461" s="666"/>
      <c r="D461" s="666"/>
      <c r="E461" s="666"/>
      <c r="F461" s="715"/>
      <c r="G461" s="666"/>
      <c r="H461" s="666"/>
      <c r="I461" s="6" t="s">
        <v>44</v>
      </c>
      <c r="J461" s="19">
        <v>40892</v>
      </c>
      <c r="K461" s="19">
        <v>40897</v>
      </c>
      <c r="L461" s="11"/>
      <c r="M461" s="15">
        <v>40948</v>
      </c>
      <c r="N461" s="19">
        <v>40975</v>
      </c>
      <c r="O461" s="7">
        <v>41008</v>
      </c>
      <c r="P461" s="4">
        <v>41011</v>
      </c>
      <c r="Q461" s="23" t="s">
        <v>44</v>
      </c>
      <c r="R461" s="14">
        <f>2412301.59/S2</f>
        <v>139038.35699341205</v>
      </c>
      <c r="S461" s="19">
        <v>41029</v>
      </c>
      <c r="T461" s="13">
        <v>41046</v>
      </c>
      <c r="U461" s="19"/>
      <c r="V461" s="44"/>
      <c r="W461" s="19"/>
      <c r="X461" s="12"/>
    </row>
    <row r="462" spans="1:24" x14ac:dyDescent="0.3">
      <c r="A462" s="658"/>
      <c r="B462" s="661"/>
      <c r="C462" s="667"/>
      <c r="D462" s="667"/>
      <c r="E462" s="667"/>
      <c r="F462" s="718"/>
      <c r="G462" s="667"/>
      <c r="H462" s="667"/>
      <c r="I462" s="310"/>
      <c r="J462" s="311"/>
      <c r="K462" s="311"/>
      <c r="L462" s="312"/>
      <c r="M462" s="313"/>
      <c r="N462" s="311"/>
      <c r="O462" s="311"/>
      <c r="P462" s="311"/>
      <c r="Q462" s="310"/>
      <c r="R462" s="314"/>
      <c r="S462" s="315"/>
      <c r="T462" s="311"/>
      <c r="U462" s="315"/>
      <c r="V462" s="316"/>
      <c r="W462" s="316"/>
      <c r="X462" s="317"/>
    </row>
    <row r="463" spans="1:24" x14ac:dyDescent="0.3">
      <c r="A463" s="656" t="s">
        <v>366</v>
      </c>
      <c r="B463" s="659" t="s">
        <v>367</v>
      </c>
      <c r="C463" s="665"/>
      <c r="D463" s="665" t="s">
        <v>93</v>
      </c>
      <c r="E463" s="665" t="s">
        <v>40</v>
      </c>
      <c r="F463" s="714">
        <f>709639.266706091/6</f>
        <v>118273.21111768183</v>
      </c>
      <c r="G463" s="665" t="s">
        <v>94</v>
      </c>
      <c r="H463" s="665" t="s">
        <v>94</v>
      </c>
      <c r="I463" s="6" t="s">
        <v>43</v>
      </c>
      <c r="J463" s="19">
        <v>40775</v>
      </c>
      <c r="K463" s="19">
        <v>40780</v>
      </c>
      <c r="L463" s="7"/>
      <c r="M463" s="9">
        <v>40791</v>
      </c>
      <c r="N463" s="7">
        <v>40821</v>
      </c>
      <c r="O463" s="13">
        <f>N465+10</f>
        <v>40985</v>
      </c>
      <c r="P463" s="29">
        <f>O463+3</f>
        <v>40988</v>
      </c>
      <c r="Q463" s="23" t="s">
        <v>43</v>
      </c>
      <c r="R463" s="14"/>
      <c r="S463" s="13">
        <f>P463+1</f>
        <v>40989</v>
      </c>
      <c r="T463" s="19">
        <f>7+S463</f>
        <v>40996</v>
      </c>
      <c r="U463" s="19"/>
      <c r="V463" s="19">
        <f>120+T463</f>
        <v>41116</v>
      </c>
      <c r="W463" s="19">
        <f>365+V463</f>
        <v>41481</v>
      </c>
      <c r="X463" s="12"/>
    </row>
    <row r="464" spans="1:24" x14ac:dyDescent="0.3">
      <c r="A464" s="657"/>
      <c r="B464" s="660"/>
      <c r="C464" s="666"/>
      <c r="D464" s="666"/>
      <c r="E464" s="666"/>
      <c r="F464" s="715"/>
      <c r="G464" s="666"/>
      <c r="H464" s="666"/>
      <c r="I464" s="6" t="s">
        <v>50</v>
      </c>
      <c r="J464" s="159"/>
      <c r="K464" s="11"/>
      <c r="L464" s="156"/>
      <c r="M464" s="15"/>
      <c r="N464" s="19"/>
      <c r="O464" s="13"/>
      <c r="P464" s="4"/>
      <c r="Q464" s="6"/>
      <c r="R464" s="10"/>
      <c r="S464" s="19"/>
      <c r="T464" s="19"/>
      <c r="U464" s="19"/>
      <c r="V464" s="161">
        <f>T465+120</f>
        <v>41159</v>
      </c>
      <c r="W464" s="19">
        <f>V464+365</f>
        <v>41524</v>
      </c>
      <c r="X464" s="12"/>
    </row>
    <row r="465" spans="1:24" ht="13.5" customHeight="1" x14ac:dyDescent="0.3">
      <c r="A465" s="657"/>
      <c r="B465" s="660"/>
      <c r="C465" s="666"/>
      <c r="D465" s="666"/>
      <c r="E465" s="666"/>
      <c r="F465" s="715"/>
      <c r="G465" s="666"/>
      <c r="H465" s="666"/>
      <c r="I465" s="6" t="s">
        <v>44</v>
      </c>
      <c r="J465" s="19">
        <v>40892</v>
      </c>
      <c r="K465" s="19">
        <v>40897</v>
      </c>
      <c r="L465" s="11"/>
      <c r="M465" s="15">
        <v>40948</v>
      </c>
      <c r="N465" s="19">
        <v>40975</v>
      </c>
      <c r="O465" s="7">
        <v>41008</v>
      </c>
      <c r="P465" s="4">
        <v>41011</v>
      </c>
      <c r="Q465" s="23" t="s">
        <v>44</v>
      </c>
      <c r="R465" s="14">
        <f>2809731.63/S2</f>
        <v>161945.11956841248</v>
      </c>
      <c r="S465" s="19">
        <v>41029</v>
      </c>
      <c r="T465" s="13">
        <v>41039</v>
      </c>
      <c r="U465" s="19"/>
      <c r="V465" s="44"/>
      <c r="W465" s="19"/>
      <c r="X465" s="12"/>
    </row>
    <row r="466" spans="1:24" x14ac:dyDescent="0.3">
      <c r="A466" s="658"/>
      <c r="B466" s="661"/>
      <c r="C466" s="667"/>
      <c r="D466" s="667"/>
      <c r="E466" s="667"/>
      <c r="F466" s="718"/>
      <c r="G466" s="667"/>
      <c r="H466" s="667"/>
      <c r="I466" s="310"/>
      <c r="J466" s="311"/>
      <c r="K466" s="311"/>
      <c r="L466" s="312"/>
      <c r="M466" s="313"/>
      <c r="N466" s="311"/>
      <c r="O466" s="311"/>
      <c r="P466" s="311"/>
      <c r="Q466" s="310"/>
      <c r="R466" s="314"/>
      <c r="S466" s="315"/>
      <c r="T466" s="311"/>
      <c r="U466" s="315"/>
      <c r="V466" s="316"/>
      <c r="W466" s="316"/>
      <c r="X466" s="317"/>
    </row>
    <row r="467" spans="1:24" x14ac:dyDescent="0.3">
      <c r="A467" s="656" t="s">
        <v>368</v>
      </c>
      <c r="B467" s="659" t="s">
        <v>369</v>
      </c>
      <c r="C467" s="665"/>
      <c r="D467" s="665" t="s">
        <v>93</v>
      </c>
      <c r="E467" s="665" t="s">
        <v>40</v>
      </c>
      <c r="F467" s="714">
        <f>709639.266706091/6</f>
        <v>118273.21111768183</v>
      </c>
      <c r="G467" s="665" t="s">
        <v>94</v>
      </c>
      <c r="H467" s="665" t="s">
        <v>94</v>
      </c>
      <c r="I467" s="6" t="s">
        <v>43</v>
      </c>
      <c r="J467" s="19">
        <v>40775</v>
      </c>
      <c r="K467" s="19">
        <v>40780</v>
      </c>
      <c r="L467" s="7"/>
      <c r="M467" s="9">
        <v>40791</v>
      </c>
      <c r="N467" s="7">
        <v>40821</v>
      </c>
      <c r="O467" s="13">
        <f>N469+10</f>
        <v>40985</v>
      </c>
      <c r="P467" s="29">
        <f>O467+3</f>
        <v>40988</v>
      </c>
      <c r="Q467" s="23" t="s">
        <v>43</v>
      </c>
      <c r="R467" s="14"/>
      <c r="S467" s="13">
        <f>P467+1</f>
        <v>40989</v>
      </c>
      <c r="T467" s="19">
        <f>7+S467</f>
        <v>40996</v>
      </c>
      <c r="U467" s="19"/>
      <c r="V467" s="19">
        <f>120+T467</f>
        <v>41116</v>
      </c>
      <c r="W467" s="19">
        <f>365+V467</f>
        <v>41481</v>
      </c>
      <c r="X467" s="12"/>
    </row>
    <row r="468" spans="1:24" x14ac:dyDescent="0.3">
      <c r="A468" s="657"/>
      <c r="B468" s="660"/>
      <c r="C468" s="666"/>
      <c r="D468" s="666"/>
      <c r="E468" s="666"/>
      <c r="F468" s="715"/>
      <c r="G468" s="666"/>
      <c r="H468" s="666"/>
      <c r="I468" s="6" t="s">
        <v>50</v>
      </c>
      <c r="J468" s="159"/>
      <c r="K468" s="11"/>
      <c r="L468" s="156"/>
      <c r="M468" s="15"/>
      <c r="N468" s="19"/>
      <c r="O468" s="13"/>
      <c r="P468" s="4"/>
      <c r="Q468" s="6"/>
      <c r="R468" s="10"/>
      <c r="S468" s="19"/>
      <c r="T468" s="19"/>
      <c r="U468" s="19"/>
      <c r="V468" s="161">
        <f>T469+120</f>
        <v>41165</v>
      </c>
      <c r="W468" s="19">
        <f>V468+365</f>
        <v>41530</v>
      </c>
      <c r="X468" s="12"/>
    </row>
    <row r="469" spans="1:24" ht="13.5" customHeight="1" x14ac:dyDescent="0.3">
      <c r="A469" s="657"/>
      <c r="B469" s="660"/>
      <c r="C469" s="666"/>
      <c r="D469" s="666"/>
      <c r="E469" s="666"/>
      <c r="F469" s="715"/>
      <c r="G469" s="666"/>
      <c r="H469" s="666"/>
      <c r="I469" s="6" t="s">
        <v>44</v>
      </c>
      <c r="J469" s="19">
        <v>40892</v>
      </c>
      <c r="K469" s="19">
        <v>40897</v>
      </c>
      <c r="L469" s="11"/>
      <c r="M469" s="15">
        <v>40948</v>
      </c>
      <c r="N469" s="19">
        <v>40975</v>
      </c>
      <c r="O469" s="7">
        <v>41008</v>
      </c>
      <c r="P469" s="4">
        <v>41011</v>
      </c>
      <c r="Q469" s="23" t="s">
        <v>44</v>
      </c>
      <c r="R469" s="14">
        <f>2042414.4/S2</f>
        <v>117719.08771808482</v>
      </c>
      <c r="S469" s="19">
        <v>41029</v>
      </c>
      <c r="T469" s="13">
        <v>41045</v>
      </c>
      <c r="U469" s="19"/>
      <c r="V469" s="44"/>
      <c r="W469" s="19"/>
      <c r="X469" s="12"/>
    </row>
    <row r="470" spans="1:24" x14ac:dyDescent="0.3">
      <c r="A470" s="658"/>
      <c r="B470" s="661"/>
      <c r="C470" s="667"/>
      <c r="D470" s="667"/>
      <c r="E470" s="667"/>
      <c r="F470" s="718"/>
      <c r="G470" s="667"/>
      <c r="H470" s="667"/>
      <c r="I470" s="310"/>
      <c r="J470" s="311"/>
      <c r="K470" s="311"/>
      <c r="L470" s="312"/>
      <c r="M470" s="313"/>
      <c r="N470" s="311"/>
      <c r="O470" s="311"/>
      <c r="P470" s="311"/>
      <c r="Q470" s="310"/>
      <c r="R470" s="314"/>
      <c r="S470" s="315"/>
      <c r="T470" s="311"/>
      <c r="U470" s="315"/>
      <c r="V470" s="316"/>
      <c r="W470" s="316"/>
      <c r="X470" s="317"/>
    </row>
    <row r="471" spans="1:24" x14ac:dyDescent="0.3">
      <c r="A471" s="656" t="s">
        <v>370</v>
      </c>
      <c r="B471" s="659" t="s">
        <v>371</v>
      </c>
      <c r="C471" s="665"/>
      <c r="D471" s="665" t="s">
        <v>93</v>
      </c>
      <c r="E471" s="665" t="s">
        <v>40</v>
      </c>
      <c r="F471" s="714">
        <f>709639.266706091/6</f>
        <v>118273.21111768183</v>
      </c>
      <c r="G471" s="665" t="s">
        <v>94</v>
      </c>
      <c r="H471" s="665" t="s">
        <v>94</v>
      </c>
      <c r="I471" s="6" t="s">
        <v>43</v>
      </c>
      <c r="J471" s="19">
        <v>40775</v>
      </c>
      <c r="K471" s="19">
        <v>40780</v>
      </c>
      <c r="L471" s="7"/>
      <c r="M471" s="9">
        <v>40791</v>
      </c>
      <c r="N471" s="7">
        <v>40821</v>
      </c>
      <c r="O471" s="13">
        <f>N473+10</f>
        <v>40985</v>
      </c>
      <c r="P471" s="29">
        <f>O471+3</f>
        <v>40988</v>
      </c>
      <c r="Q471" s="23" t="s">
        <v>43</v>
      </c>
      <c r="R471" s="14"/>
      <c r="S471" s="13">
        <f>P471+1</f>
        <v>40989</v>
      </c>
      <c r="T471" s="19">
        <f>7+S471</f>
        <v>40996</v>
      </c>
      <c r="U471" s="19"/>
      <c r="V471" s="19">
        <f>120+T471</f>
        <v>41116</v>
      </c>
      <c r="W471" s="19">
        <f>365+V471</f>
        <v>41481</v>
      </c>
      <c r="X471" s="12"/>
    </row>
    <row r="472" spans="1:24" x14ac:dyDescent="0.3">
      <c r="A472" s="657"/>
      <c r="B472" s="660"/>
      <c r="C472" s="666"/>
      <c r="D472" s="666"/>
      <c r="E472" s="666"/>
      <c r="F472" s="715"/>
      <c r="G472" s="666"/>
      <c r="H472" s="666"/>
      <c r="I472" s="6" t="s">
        <v>50</v>
      </c>
      <c r="J472" s="159"/>
      <c r="K472" s="11"/>
      <c r="L472" s="156"/>
      <c r="M472" s="15"/>
      <c r="N472" s="19"/>
      <c r="O472" s="13"/>
      <c r="P472" s="4"/>
      <c r="Q472" s="6"/>
      <c r="R472" s="10"/>
      <c r="S472" s="19">
        <f>O472+7</f>
        <v>7</v>
      </c>
      <c r="T472" s="19"/>
      <c r="U472" s="19"/>
      <c r="V472" s="161">
        <f>T473+120</f>
        <v>41165</v>
      </c>
      <c r="W472" s="19">
        <f>V472+365</f>
        <v>41530</v>
      </c>
      <c r="X472" s="12"/>
    </row>
    <row r="473" spans="1:24" x14ac:dyDescent="0.3">
      <c r="A473" s="657"/>
      <c r="B473" s="660"/>
      <c r="C473" s="666"/>
      <c r="D473" s="666"/>
      <c r="E473" s="666"/>
      <c r="F473" s="715"/>
      <c r="G473" s="666"/>
      <c r="H473" s="666"/>
      <c r="I473" s="6" t="s">
        <v>44</v>
      </c>
      <c r="J473" s="19">
        <v>40892</v>
      </c>
      <c r="K473" s="19">
        <v>40897</v>
      </c>
      <c r="L473" s="11"/>
      <c r="M473" s="15">
        <v>40948</v>
      </c>
      <c r="N473" s="19">
        <v>40975</v>
      </c>
      <c r="O473" s="7">
        <v>41008</v>
      </c>
      <c r="P473" s="4">
        <v>41011</v>
      </c>
      <c r="Q473" s="23" t="s">
        <v>44</v>
      </c>
      <c r="R473" s="14">
        <f>3733331.06/S2</f>
        <v>215178.82293269699</v>
      </c>
      <c r="S473" s="19">
        <v>41029</v>
      </c>
      <c r="T473" s="13">
        <v>41045</v>
      </c>
      <c r="U473" s="19"/>
      <c r="V473" s="44"/>
      <c r="W473" s="19"/>
      <c r="X473" s="12"/>
    </row>
    <row r="474" spans="1:24" x14ac:dyDescent="0.3">
      <c r="A474" s="658"/>
      <c r="B474" s="661"/>
      <c r="C474" s="667"/>
      <c r="D474" s="667"/>
      <c r="E474" s="667"/>
      <c r="F474" s="718"/>
      <c r="G474" s="667"/>
      <c r="H474" s="667"/>
      <c r="I474" s="310"/>
      <c r="J474" s="311"/>
      <c r="K474" s="311"/>
      <c r="L474" s="312"/>
      <c r="M474" s="313"/>
      <c r="N474" s="311"/>
      <c r="O474" s="311"/>
      <c r="P474" s="311"/>
      <c r="Q474" s="310"/>
      <c r="R474" s="314"/>
      <c r="S474" s="315"/>
      <c r="T474" s="311"/>
      <c r="U474" s="315"/>
      <c r="V474" s="316"/>
      <c r="W474" s="316"/>
      <c r="X474" s="317"/>
    </row>
    <row r="475" spans="1:24" x14ac:dyDescent="0.3">
      <c r="A475" s="656" t="s">
        <v>372</v>
      </c>
      <c r="B475" s="659" t="s">
        <v>373</v>
      </c>
      <c r="C475" s="665"/>
      <c r="D475" s="665" t="s">
        <v>93</v>
      </c>
      <c r="E475" s="665" t="s">
        <v>40</v>
      </c>
      <c r="F475" s="714">
        <f>709639.266706091/6</f>
        <v>118273.21111768183</v>
      </c>
      <c r="G475" s="665" t="s">
        <v>94</v>
      </c>
      <c r="H475" s="665" t="s">
        <v>94</v>
      </c>
      <c r="I475" s="6" t="s">
        <v>43</v>
      </c>
      <c r="J475" s="19">
        <v>40775</v>
      </c>
      <c r="K475" s="19">
        <v>40780</v>
      </c>
      <c r="L475" s="7"/>
      <c r="M475" s="9">
        <v>40791</v>
      </c>
      <c r="N475" s="7">
        <v>40821</v>
      </c>
      <c r="O475" s="13">
        <f>N477+10</f>
        <v>40985</v>
      </c>
      <c r="P475" s="29">
        <f>O475+3</f>
        <v>40988</v>
      </c>
      <c r="Q475" s="23" t="s">
        <v>43</v>
      </c>
      <c r="R475" s="14"/>
      <c r="S475" s="13">
        <f>P475+1</f>
        <v>40989</v>
      </c>
      <c r="T475" s="19">
        <f>7+S475</f>
        <v>40996</v>
      </c>
      <c r="U475" s="19"/>
      <c r="V475" s="19">
        <f>120+T475</f>
        <v>41116</v>
      </c>
      <c r="W475" s="19">
        <f>365+V475</f>
        <v>41481</v>
      </c>
      <c r="X475" s="12"/>
    </row>
    <row r="476" spans="1:24" x14ac:dyDescent="0.3">
      <c r="A476" s="657"/>
      <c r="B476" s="660"/>
      <c r="C476" s="666"/>
      <c r="D476" s="666"/>
      <c r="E476" s="666"/>
      <c r="F476" s="715"/>
      <c r="G476" s="666"/>
      <c r="H476" s="666"/>
      <c r="I476" s="6" t="s">
        <v>50</v>
      </c>
      <c r="J476" s="159"/>
      <c r="K476" s="11"/>
      <c r="L476" s="156"/>
      <c r="M476" s="15"/>
      <c r="N476" s="19"/>
      <c r="O476" s="13"/>
      <c r="P476" s="4"/>
      <c r="Q476" s="6"/>
      <c r="R476" s="10"/>
      <c r="S476" s="19"/>
      <c r="T476" s="19"/>
      <c r="U476" s="19"/>
      <c r="V476" s="161">
        <f>T477+120</f>
        <v>41159</v>
      </c>
      <c r="W476" s="19">
        <f>V476+365</f>
        <v>41524</v>
      </c>
      <c r="X476" s="12"/>
    </row>
    <row r="477" spans="1:24" x14ac:dyDescent="0.3">
      <c r="A477" s="657"/>
      <c r="B477" s="660"/>
      <c r="C477" s="666"/>
      <c r="D477" s="666"/>
      <c r="E477" s="666"/>
      <c r="F477" s="715"/>
      <c r="G477" s="666"/>
      <c r="H477" s="666"/>
      <c r="I477" s="6" t="s">
        <v>44</v>
      </c>
      <c r="J477" s="19">
        <v>40892</v>
      </c>
      <c r="K477" s="19">
        <v>40897</v>
      </c>
      <c r="L477" s="11"/>
      <c r="M477" s="15">
        <v>40948</v>
      </c>
      <c r="N477" s="19">
        <v>40975</v>
      </c>
      <c r="O477" s="7">
        <v>41008</v>
      </c>
      <c r="P477" s="4">
        <v>41011</v>
      </c>
      <c r="Q477" s="23" t="s">
        <v>44</v>
      </c>
      <c r="R477" s="129">
        <f>1140046.01/S2</f>
        <v>65709.08247309782</v>
      </c>
      <c r="S477" s="19">
        <v>41029</v>
      </c>
      <c r="T477" s="13">
        <v>41039</v>
      </c>
      <c r="U477" s="19"/>
      <c r="V477" s="44"/>
      <c r="W477" s="19"/>
      <c r="X477" s="12"/>
    </row>
    <row r="478" spans="1:24" x14ac:dyDescent="0.3">
      <c r="A478" s="658"/>
      <c r="B478" s="661"/>
      <c r="C478" s="667"/>
      <c r="D478" s="667"/>
      <c r="E478" s="667"/>
      <c r="F478" s="718"/>
      <c r="G478" s="667"/>
      <c r="H478" s="667"/>
      <c r="I478" s="310"/>
      <c r="J478" s="311"/>
      <c r="K478" s="311"/>
      <c r="L478" s="312"/>
      <c r="M478" s="313"/>
      <c r="N478" s="311"/>
      <c r="O478" s="311"/>
      <c r="P478" s="311"/>
      <c r="Q478" s="310"/>
      <c r="R478" s="314"/>
      <c r="S478" s="315"/>
      <c r="T478" s="311"/>
      <c r="U478" s="315"/>
      <c r="V478" s="316"/>
      <c r="W478" s="316"/>
      <c r="X478" s="317"/>
    </row>
    <row r="479" spans="1:24" x14ac:dyDescent="0.3">
      <c r="A479" s="656" t="s">
        <v>374</v>
      </c>
      <c r="B479" s="659" t="s">
        <v>375</v>
      </c>
      <c r="C479" s="665"/>
      <c r="D479" s="665" t="s">
        <v>93</v>
      </c>
      <c r="E479" s="665" t="s">
        <v>40</v>
      </c>
      <c r="F479" s="714">
        <f>709639.266706091/6</f>
        <v>118273.21111768183</v>
      </c>
      <c r="G479" s="665" t="s">
        <v>94</v>
      </c>
      <c r="H479" s="665" t="s">
        <v>94</v>
      </c>
      <c r="I479" s="6" t="s">
        <v>43</v>
      </c>
      <c r="J479" s="19">
        <v>40775</v>
      </c>
      <c r="K479" s="19">
        <v>40780</v>
      </c>
      <c r="L479" s="7"/>
      <c r="M479" s="9">
        <v>40791</v>
      </c>
      <c r="N479" s="7">
        <v>40821</v>
      </c>
      <c r="O479" s="13">
        <f>N479+10</f>
        <v>40831</v>
      </c>
      <c r="P479" s="29">
        <f>O479+3</f>
        <v>40834</v>
      </c>
      <c r="Q479" s="23" t="s">
        <v>43</v>
      </c>
      <c r="R479" s="14"/>
      <c r="S479" s="13">
        <f>P479+1</f>
        <v>40835</v>
      </c>
      <c r="T479" s="19">
        <f>7+S479</f>
        <v>40842</v>
      </c>
      <c r="U479" s="19"/>
      <c r="V479" s="19">
        <f>120+T479</f>
        <v>40962</v>
      </c>
      <c r="W479" s="19">
        <f>365+V479</f>
        <v>41327</v>
      </c>
      <c r="X479" s="12"/>
    </row>
    <row r="480" spans="1:24" x14ac:dyDescent="0.3">
      <c r="A480" s="657"/>
      <c r="B480" s="660"/>
      <c r="C480" s="666"/>
      <c r="D480" s="666"/>
      <c r="E480" s="666"/>
      <c r="F480" s="715"/>
      <c r="G480" s="666"/>
      <c r="H480" s="666"/>
      <c r="I480" s="6" t="s">
        <v>50</v>
      </c>
      <c r="J480" s="159"/>
      <c r="K480" s="11"/>
      <c r="L480" s="156"/>
      <c r="M480" s="15"/>
      <c r="N480" s="19"/>
      <c r="O480" s="13"/>
      <c r="P480" s="4"/>
      <c r="Q480" s="6"/>
      <c r="R480" s="10"/>
      <c r="S480" s="19"/>
      <c r="T480" s="19"/>
      <c r="U480" s="19"/>
      <c r="V480" s="161">
        <f>T481+120</f>
        <v>41159</v>
      </c>
      <c r="W480" s="19">
        <f>V480+365</f>
        <v>41524</v>
      </c>
      <c r="X480" s="12"/>
    </row>
    <row r="481" spans="1:24" x14ac:dyDescent="0.3">
      <c r="A481" s="657"/>
      <c r="B481" s="660"/>
      <c r="C481" s="666"/>
      <c r="D481" s="666"/>
      <c r="E481" s="666"/>
      <c r="F481" s="715"/>
      <c r="G481" s="666"/>
      <c r="H481" s="666"/>
      <c r="I481" s="6" t="s">
        <v>44</v>
      </c>
      <c r="J481" s="19">
        <v>40892</v>
      </c>
      <c r="K481" s="19">
        <v>40897</v>
      </c>
      <c r="L481" s="11"/>
      <c r="M481" s="15">
        <v>40948</v>
      </c>
      <c r="N481" s="19">
        <v>40975</v>
      </c>
      <c r="O481" s="7">
        <v>41008</v>
      </c>
      <c r="P481" s="4">
        <v>41011</v>
      </c>
      <c r="Q481" s="23" t="s">
        <v>44</v>
      </c>
      <c r="R481" s="129">
        <f>2845234.45/S2</f>
        <v>163991.40340866518</v>
      </c>
      <c r="S481" s="162">
        <v>41029</v>
      </c>
      <c r="T481" s="19">
        <v>41039</v>
      </c>
      <c r="U481" s="19"/>
      <c r="V481" s="44"/>
      <c r="W481" s="19"/>
      <c r="X481" s="12"/>
    </row>
    <row r="482" spans="1:24" x14ac:dyDescent="0.3">
      <c r="A482" s="658"/>
      <c r="B482" s="661"/>
      <c r="C482" s="667"/>
      <c r="D482" s="667"/>
      <c r="E482" s="667"/>
      <c r="F482" s="718"/>
      <c r="G482" s="667"/>
      <c r="H482" s="667"/>
      <c r="I482" s="310"/>
      <c r="J482" s="311"/>
      <c r="K482" s="311"/>
      <c r="L482" s="312"/>
      <c r="M482" s="313"/>
      <c r="N482" s="311"/>
      <c r="O482" s="311"/>
      <c r="P482" s="311"/>
      <c r="Q482" s="310"/>
      <c r="R482" s="314"/>
      <c r="S482" s="315"/>
      <c r="T482" s="311"/>
      <c r="U482" s="315"/>
      <c r="V482" s="316"/>
      <c r="W482" s="316"/>
      <c r="X482" s="317"/>
    </row>
    <row r="483" spans="1:24" x14ac:dyDescent="0.3">
      <c r="A483" s="656" t="s">
        <v>376</v>
      </c>
      <c r="B483" s="659" t="s">
        <v>377</v>
      </c>
      <c r="C483" s="665"/>
      <c r="D483" s="665" t="s">
        <v>93</v>
      </c>
      <c r="E483" s="665" t="s">
        <v>40</v>
      </c>
      <c r="F483" s="714">
        <f>709639.266706091/6</f>
        <v>118273.21111768183</v>
      </c>
      <c r="G483" s="665" t="s">
        <v>94</v>
      </c>
      <c r="H483" s="665" t="s">
        <v>94</v>
      </c>
      <c r="I483" s="6" t="s">
        <v>43</v>
      </c>
      <c r="J483" s="19">
        <v>40775</v>
      </c>
      <c r="K483" s="19">
        <v>40780</v>
      </c>
      <c r="L483" s="7"/>
      <c r="M483" s="9">
        <v>40791</v>
      </c>
      <c r="N483" s="7">
        <v>40821</v>
      </c>
      <c r="O483" s="13">
        <f>N485+10</f>
        <v>40985</v>
      </c>
      <c r="P483" s="29">
        <f>O483+3</f>
        <v>40988</v>
      </c>
      <c r="Q483" s="23" t="s">
        <v>43</v>
      </c>
      <c r="R483" s="14"/>
      <c r="S483" s="13">
        <f>P483+1</f>
        <v>40989</v>
      </c>
      <c r="T483" s="19">
        <f>7+S483</f>
        <v>40996</v>
      </c>
      <c r="U483" s="19"/>
      <c r="V483" s="19">
        <f>120+T483</f>
        <v>41116</v>
      </c>
      <c r="W483" s="19">
        <f>365+V483</f>
        <v>41481</v>
      </c>
      <c r="X483" s="12"/>
    </row>
    <row r="484" spans="1:24" x14ac:dyDescent="0.3">
      <c r="A484" s="657"/>
      <c r="B484" s="660"/>
      <c r="C484" s="666"/>
      <c r="D484" s="666"/>
      <c r="E484" s="666"/>
      <c r="F484" s="715"/>
      <c r="G484" s="666"/>
      <c r="H484" s="666"/>
      <c r="I484" s="6" t="s">
        <v>50</v>
      </c>
      <c r="J484" s="159"/>
      <c r="K484" s="11"/>
      <c r="L484" s="156"/>
      <c r="M484" s="15"/>
      <c r="N484" s="19"/>
      <c r="O484" s="13"/>
      <c r="P484" s="4"/>
      <c r="Q484" s="6"/>
      <c r="R484" s="10"/>
      <c r="S484" s="19"/>
      <c r="T484" s="19"/>
      <c r="U484" s="19"/>
      <c r="V484" s="161">
        <f>T485+120</f>
        <v>41160</v>
      </c>
      <c r="W484" s="19">
        <f>V484+365</f>
        <v>41525</v>
      </c>
      <c r="X484" s="12"/>
    </row>
    <row r="485" spans="1:24" x14ac:dyDescent="0.3">
      <c r="A485" s="657"/>
      <c r="B485" s="660"/>
      <c r="C485" s="666"/>
      <c r="D485" s="666"/>
      <c r="E485" s="666"/>
      <c r="F485" s="715"/>
      <c r="G485" s="666"/>
      <c r="H485" s="666"/>
      <c r="I485" s="6" t="s">
        <v>44</v>
      </c>
      <c r="J485" s="19">
        <v>40892</v>
      </c>
      <c r="K485" s="19">
        <v>40897</v>
      </c>
      <c r="L485" s="11"/>
      <c r="M485" s="15">
        <v>40948</v>
      </c>
      <c r="N485" s="19">
        <v>40975</v>
      </c>
      <c r="O485" s="7">
        <v>41008</v>
      </c>
      <c r="P485" s="4">
        <v>41011</v>
      </c>
      <c r="Q485" s="23" t="s">
        <v>44</v>
      </c>
      <c r="R485" s="14">
        <f>948200.82/S2</f>
        <v>54651.659087372253</v>
      </c>
      <c r="S485" s="19">
        <v>41029</v>
      </c>
      <c r="T485" s="13">
        <v>41040</v>
      </c>
      <c r="U485" s="19"/>
      <c r="V485" s="44"/>
      <c r="W485" s="19"/>
      <c r="X485" s="12"/>
    </row>
    <row r="486" spans="1:24" x14ac:dyDescent="0.3">
      <c r="A486" s="658"/>
      <c r="B486" s="661"/>
      <c r="C486" s="667"/>
      <c r="D486" s="667"/>
      <c r="E486" s="667"/>
      <c r="F486" s="718"/>
      <c r="G486" s="667"/>
      <c r="H486" s="667"/>
      <c r="I486" s="310"/>
      <c r="J486" s="311"/>
      <c r="K486" s="311"/>
      <c r="L486" s="312"/>
      <c r="M486" s="313"/>
      <c r="N486" s="311"/>
      <c r="O486" s="311"/>
      <c r="P486" s="311"/>
      <c r="Q486" s="310"/>
      <c r="R486" s="314"/>
      <c r="S486" s="315"/>
      <c r="T486" s="311"/>
      <c r="U486" s="315"/>
      <c r="V486" s="316"/>
      <c r="W486" s="316"/>
      <c r="X486" s="317"/>
    </row>
    <row r="487" spans="1:24" x14ac:dyDescent="0.3">
      <c r="A487" s="656" t="s">
        <v>378</v>
      </c>
      <c r="B487" s="659" t="s">
        <v>379</v>
      </c>
      <c r="C487" s="665"/>
      <c r="D487" s="665" t="s">
        <v>93</v>
      </c>
      <c r="E487" s="665" t="s">
        <v>40</v>
      </c>
      <c r="F487" s="714">
        <f>709639.266706091/6</f>
        <v>118273.21111768183</v>
      </c>
      <c r="G487" s="665" t="s">
        <v>94</v>
      </c>
      <c r="H487" s="665" t="s">
        <v>94</v>
      </c>
      <c r="I487" s="6" t="s">
        <v>43</v>
      </c>
      <c r="J487" s="19">
        <v>40775</v>
      </c>
      <c r="K487" s="19">
        <v>40780</v>
      </c>
      <c r="L487" s="7"/>
      <c r="M487" s="9">
        <v>40791</v>
      </c>
      <c r="N487" s="7">
        <v>40821</v>
      </c>
      <c r="O487" s="13">
        <f>N489+10</f>
        <v>40985</v>
      </c>
      <c r="P487" s="29">
        <f>O487+3</f>
        <v>40988</v>
      </c>
      <c r="Q487" s="23" t="s">
        <v>43</v>
      </c>
      <c r="R487" s="14"/>
      <c r="S487" s="13">
        <f>P487+1</f>
        <v>40989</v>
      </c>
      <c r="T487" s="19">
        <f>7+S487</f>
        <v>40996</v>
      </c>
      <c r="U487" s="19"/>
      <c r="V487" s="19">
        <f>120+T487</f>
        <v>41116</v>
      </c>
      <c r="W487" s="19">
        <f>365+V487</f>
        <v>41481</v>
      </c>
      <c r="X487" s="12"/>
    </row>
    <row r="488" spans="1:24" x14ac:dyDescent="0.3">
      <c r="A488" s="657"/>
      <c r="B488" s="660"/>
      <c r="C488" s="666"/>
      <c r="D488" s="666"/>
      <c r="E488" s="666"/>
      <c r="F488" s="715"/>
      <c r="G488" s="666"/>
      <c r="H488" s="666"/>
      <c r="I488" s="6" t="s">
        <v>50</v>
      </c>
      <c r="J488" s="159"/>
      <c r="K488" s="11"/>
      <c r="L488" s="156"/>
      <c r="M488" s="15"/>
      <c r="N488" s="19"/>
      <c r="O488" s="13"/>
      <c r="P488" s="4"/>
      <c r="Q488" s="6"/>
      <c r="R488" s="10"/>
      <c r="S488" s="19"/>
      <c r="T488" s="19"/>
      <c r="U488" s="19"/>
      <c r="V488" s="161">
        <f>T489+120</f>
        <v>41160</v>
      </c>
      <c r="W488" s="19">
        <f>V488+365</f>
        <v>41525</v>
      </c>
      <c r="X488" s="12"/>
    </row>
    <row r="489" spans="1:24" x14ac:dyDescent="0.3">
      <c r="A489" s="657"/>
      <c r="B489" s="660"/>
      <c r="C489" s="666"/>
      <c r="D489" s="666"/>
      <c r="E489" s="666"/>
      <c r="F489" s="715"/>
      <c r="G489" s="666"/>
      <c r="H489" s="666"/>
      <c r="I489" s="6" t="s">
        <v>44</v>
      </c>
      <c r="J489" s="19">
        <v>40892</v>
      </c>
      <c r="K489" s="19">
        <v>40897</v>
      </c>
      <c r="L489" s="11"/>
      <c r="M489" s="15">
        <v>40948</v>
      </c>
      <c r="N489" s="19">
        <v>40975</v>
      </c>
      <c r="O489" s="7">
        <v>41008</v>
      </c>
      <c r="P489" s="4">
        <v>41011</v>
      </c>
      <c r="Q489" s="23" t="s">
        <v>44</v>
      </c>
      <c r="R489" s="14">
        <f>1000718.39/S2</f>
        <v>57678.625813405262</v>
      </c>
      <c r="S489" s="19">
        <v>41029</v>
      </c>
      <c r="T489" s="13">
        <v>41040</v>
      </c>
      <c r="U489" s="19"/>
      <c r="V489" s="44"/>
      <c r="W489" s="19"/>
      <c r="X489" s="12"/>
    </row>
    <row r="490" spans="1:24" x14ac:dyDescent="0.3">
      <c r="A490" s="658"/>
      <c r="B490" s="661"/>
      <c r="C490" s="667"/>
      <c r="D490" s="667"/>
      <c r="E490" s="667"/>
      <c r="F490" s="718"/>
      <c r="G490" s="667"/>
      <c r="H490" s="667"/>
      <c r="I490" s="310"/>
      <c r="J490" s="311"/>
      <c r="K490" s="311"/>
      <c r="L490" s="312"/>
      <c r="M490" s="313"/>
      <c r="N490" s="311"/>
      <c r="O490" s="311"/>
      <c r="P490" s="311"/>
      <c r="Q490" s="310"/>
      <c r="R490" s="314"/>
      <c r="S490" s="315"/>
      <c r="T490" s="311"/>
      <c r="U490" s="315"/>
      <c r="V490" s="316"/>
      <c r="W490" s="316"/>
      <c r="X490" s="317"/>
    </row>
    <row r="491" spans="1:24" x14ac:dyDescent="0.3">
      <c r="A491" s="656" t="s">
        <v>380</v>
      </c>
      <c r="B491" s="659" t="s">
        <v>381</v>
      </c>
      <c r="C491" s="665"/>
      <c r="D491" s="665" t="s">
        <v>93</v>
      </c>
      <c r="E491" s="665" t="s">
        <v>40</v>
      </c>
      <c r="F491" s="714">
        <f>709639.266706091/6</f>
        <v>118273.21111768183</v>
      </c>
      <c r="G491" s="665" t="s">
        <v>94</v>
      </c>
      <c r="H491" s="665" t="s">
        <v>94</v>
      </c>
      <c r="I491" s="6" t="s">
        <v>43</v>
      </c>
      <c r="J491" s="19">
        <v>40775</v>
      </c>
      <c r="K491" s="19">
        <v>40780</v>
      </c>
      <c r="L491" s="7"/>
      <c r="M491" s="9">
        <v>40791</v>
      </c>
      <c r="N491" s="7">
        <v>40821</v>
      </c>
      <c r="O491" s="13">
        <f>N493+10</f>
        <v>40985</v>
      </c>
      <c r="P491" s="29">
        <f>O491+3</f>
        <v>40988</v>
      </c>
      <c r="Q491" s="23" t="s">
        <v>43</v>
      </c>
      <c r="R491" s="14"/>
      <c r="S491" s="7">
        <f>P491+1</f>
        <v>40989</v>
      </c>
      <c r="T491" s="4">
        <f>7+S491</f>
        <v>40996</v>
      </c>
      <c r="U491" s="21"/>
      <c r="V491" s="4">
        <f>120+T491</f>
        <v>41116</v>
      </c>
      <c r="W491" s="4">
        <f>365+V491</f>
        <v>41481</v>
      </c>
      <c r="X491" s="12"/>
    </row>
    <row r="492" spans="1:24" x14ac:dyDescent="0.3">
      <c r="A492" s="657"/>
      <c r="B492" s="660"/>
      <c r="C492" s="666"/>
      <c r="D492" s="666"/>
      <c r="E492" s="666"/>
      <c r="F492" s="715"/>
      <c r="G492" s="666"/>
      <c r="H492" s="666"/>
      <c r="I492" s="6" t="s">
        <v>50</v>
      </c>
      <c r="J492" s="159"/>
      <c r="K492" s="11"/>
      <c r="L492" s="156"/>
      <c r="M492" s="15"/>
      <c r="N492" s="19"/>
      <c r="O492" s="13"/>
      <c r="P492" s="4"/>
      <c r="Q492" s="6"/>
      <c r="R492" s="10"/>
      <c r="S492" s="4"/>
      <c r="T492" s="4"/>
      <c r="U492" s="11"/>
      <c r="V492" s="16">
        <f>T493+120</f>
        <v>41157</v>
      </c>
      <c r="W492" s="4">
        <f>V492+365</f>
        <v>41522</v>
      </c>
      <c r="X492" s="12"/>
    </row>
    <row r="493" spans="1:24" x14ac:dyDescent="0.3">
      <c r="A493" s="657"/>
      <c r="B493" s="660"/>
      <c r="C493" s="666"/>
      <c r="D493" s="666"/>
      <c r="E493" s="666"/>
      <c r="F493" s="715"/>
      <c r="G493" s="666"/>
      <c r="H493" s="666"/>
      <c r="I493" s="6" t="s">
        <v>44</v>
      </c>
      <c r="J493" s="19">
        <v>40892</v>
      </c>
      <c r="K493" s="19">
        <v>40897</v>
      </c>
      <c r="L493" s="11"/>
      <c r="M493" s="15">
        <v>40948</v>
      </c>
      <c r="N493" s="19">
        <v>40975</v>
      </c>
      <c r="O493" s="7">
        <v>41008</v>
      </c>
      <c r="P493" s="4">
        <v>41011</v>
      </c>
      <c r="Q493" s="23" t="s">
        <v>44</v>
      </c>
      <c r="R493" s="14">
        <f>1290017.65/S2</f>
        <v>74353.030853203745</v>
      </c>
      <c r="S493" s="21">
        <v>41029</v>
      </c>
      <c r="T493" s="28">
        <v>41037</v>
      </c>
      <c r="U493" s="21"/>
      <c r="V493" s="37"/>
      <c r="W493" s="21"/>
      <c r="X493" s="12"/>
    </row>
    <row r="494" spans="1:24" x14ac:dyDescent="0.3">
      <c r="A494" s="658"/>
      <c r="B494" s="661"/>
      <c r="C494" s="667"/>
      <c r="D494" s="667"/>
      <c r="E494" s="667"/>
      <c r="F494" s="718"/>
      <c r="G494" s="667"/>
      <c r="H494" s="667"/>
      <c r="I494" s="310"/>
      <c r="J494" s="311"/>
      <c r="K494" s="311"/>
      <c r="L494" s="312"/>
      <c r="M494" s="313"/>
      <c r="N494" s="311"/>
      <c r="O494" s="311"/>
      <c r="P494" s="311"/>
      <c r="Q494" s="310"/>
      <c r="R494" s="314"/>
      <c r="S494" s="315"/>
      <c r="T494" s="311"/>
      <c r="U494" s="315"/>
      <c r="V494" s="316"/>
      <c r="W494" s="316"/>
      <c r="X494" s="317"/>
    </row>
    <row r="495" spans="1:24" x14ac:dyDescent="0.3">
      <c r="A495" s="656" t="s">
        <v>382</v>
      </c>
      <c r="B495" s="659" t="s">
        <v>383</v>
      </c>
      <c r="C495" s="665"/>
      <c r="D495" s="665" t="s">
        <v>93</v>
      </c>
      <c r="E495" s="665" t="s">
        <v>40</v>
      </c>
      <c r="F495" s="714">
        <f>709639.266706091/6</f>
        <v>118273.21111768183</v>
      </c>
      <c r="G495" s="665" t="s">
        <v>94</v>
      </c>
      <c r="H495" s="665" t="s">
        <v>94</v>
      </c>
      <c r="I495" s="6" t="s">
        <v>43</v>
      </c>
      <c r="J495" s="19">
        <v>40775</v>
      </c>
      <c r="K495" s="19">
        <v>40780</v>
      </c>
      <c r="L495" s="7"/>
      <c r="M495" s="9">
        <v>40791</v>
      </c>
      <c r="N495" s="7">
        <v>40821</v>
      </c>
      <c r="O495" s="13">
        <f>N497+10</f>
        <v>40985</v>
      </c>
      <c r="P495" s="29">
        <f>O495+3</f>
        <v>40988</v>
      </c>
      <c r="Q495" s="23" t="s">
        <v>43</v>
      </c>
      <c r="R495" s="14"/>
      <c r="S495" s="7">
        <f>P495+1</f>
        <v>40989</v>
      </c>
      <c r="T495" s="4">
        <f>7+S495</f>
        <v>40996</v>
      </c>
      <c r="U495" s="21"/>
      <c r="V495" s="4">
        <f>120+T495</f>
        <v>41116</v>
      </c>
      <c r="W495" s="4">
        <f>365+V495</f>
        <v>41481</v>
      </c>
      <c r="X495" s="12"/>
    </row>
    <row r="496" spans="1:24" x14ac:dyDescent="0.3">
      <c r="A496" s="657"/>
      <c r="B496" s="660"/>
      <c r="C496" s="666"/>
      <c r="D496" s="666"/>
      <c r="E496" s="666"/>
      <c r="F496" s="715"/>
      <c r="G496" s="666"/>
      <c r="H496" s="666"/>
      <c r="I496" s="6" t="s">
        <v>50</v>
      </c>
      <c r="J496" s="159"/>
      <c r="K496" s="11"/>
      <c r="L496" s="156"/>
      <c r="M496" s="15"/>
      <c r="N496" s="19"/>
      <c r="O496" s="13"/>
      <c r="P496" s="4"/>
      <c r="Q496" s="6"/>
      <c r="R496" s="10"/>
      <c r="S496" s="4"/>
      <c r="T496" s="4"/>
      <c r="U496" s="11"/>
      <c r="V496" s="16">
        <f>T497+120</f>
        <v>41163</v>
      </c>
      <c r="W496" s="4">
        <f>V496+365</f>
        <v>41528</v>
      </c>
      <c r="X496" s="12"/>
    </row>
    <row r="497" spans="1:24" x14ac:dyDescent="0.3">
      <c r="A497" s="657"/>
      <c r="B497" s="660"/>
      <c r="C497" s="666"/>
      <c r="D497" s="666"/>
      <c r="E497" s="666"/>
      <c r="F497" s="715"/>
      <c r="G497" s="666"/>
      <c r="H497" s="666"/>
      <c r="I497" s="6" t="s">
        <v>44</v>
      </c>
      <c r="J497" s="19">
        <v>40892</v>
      </c>
      <c r="K497" s="19">
        <v>40897</v>
      </c>
      <c r="L497" s="11"/>
      <c r="M497" s="15">
        <v>40948</v>
      </c>
      <c r="N497" s="19">
        <v>40975</v>
      </c>
      <c r="O497" s="7">
        <v>41008</v>
      </c>
      <c r="P497" s="4">
        <v>41011</v>
      </c>
      <c r="Q497" s="23" t="s">
        <v>44</v>
      </c>
      <c r="R497" s="14">
        <f>1164303.56/S2</f>
        <v>67107.220214525732</v>
      </c>
      <c r="S497" s="21">
        <v>41029</v>
      </c>
      <c r="T497" s="28">
        <v>41043</v>
      </c>
      <c r="U497" s="21"/>
      <c r="V497" s="37"/>
      <c r="W497" s="21"/>
      <c r="X497" s="12"/>
    </row>
    <row r="498" spans="1:24" x14ac:dyDescent="0.3">
      <c r="A498" s="658"/>
      <c r="B498" s="661"/>
      <c r="C498" s="667"/>
      <c r="D498" s="667"/>
      <c r="E498" s="667"/>
      <c r="F498" s="718"/>
      <c r="G498" s="667"/>
      <c r="H498" s="667"/>
      <c r="I498" s="310"/>
      <c r="J498" s="311"/>
      <c r="K498" s="311"/>
      <c r="L498" s="312"/>
      <c r="M498" s="313"/>
      <c r="N498" s="311"/>
      <c r="O498" s="311"/>
      <c r="P498" s="311"/>
      <c r="Q498" s="310"/>
      <c r="R498" s="314"/>
      <c r="S498" s="315"/>
      <c r="T498" s="311"/>
      <c r="U498" s="315"/>
      <c r="V498" s="316"/>
      <c r="W498" s="316"/>
      <c r="X498" s="317"/>
    </row>
    <row r="499" spans="1:24" x14ac:dyDescent="0.3">
      <c r="A499" s="656" t="s">
        <v>384</v>
      </c>
      <c r="B499" s="659" t="s">
        <v>385</v>
      </c>
      <c r="C499" s="665"/>
      <c r="D499" s="665" t="s">
        <v>93</v>
      </c>
      <c r="E499" s="665" t="s">
        <v>40</v>
      </c>
      <c r="F499" s="714">
        <f>709639.266706091/6</f>
        <v>118273.21111768183</v>
      </c>
      <c r="G499" s="665" t="s">
        <v>94</v>
      </c>
      <c r="H499" s="665" t="s">
        <v>94</v>
      </c>
      <c r="I499" s="6" t="s">
        <v>43</v>
      </c>
      <c r="J499" s="19">
        <v>40775</v>
      </c>
      <c r="K499" s="19">
        <v>40780</v>
      </c>
      <c r="L499" s="7"/>
      <c r="M499" s="9">
        <v>40791</v>
      </c>
      <c r="N499" s="7">
        <v>40821</v>
      </c>
      <c r="O499" s="13">
        <f>N501+10</f>
        <v>40985</v>
      </c>
      <c r="P499" s="29">
        <f>O499+3</f>
        <v>40988</v>
      </c>
      <c r="Q499" s="23" t="s">
        <v>43</v>
      </c>
      <c r="R499" s="14"/>
      <c r="S499" s="7">
        <f>P499+1</f>
        <v>40989</v>
      </c>
      <c r="T499" s="4">
        <f>7+S499</f>
        <v>40996</v>
      </c>
      <c r="U499" s="21"/>
      <c r="V499" s="4">
        <f>120+T499</f>
        <v>41116</v>
      </c>
      <c r="W499" s="4">
        <f>365+V499</f>
        <v>41481</v>
      </c>
      <c r="X499" s="12"/>
    </row>
    <row r="500" spans="1:24" x14ac:dyDescent="0.3">
      <c r="A500" s="657"/>
      <c r="B500" s="660"/>
      <c r="C500" s="666"/>
      <c r="D500" s="666"/>
      <c r="E500" s="666"/>
      <c r="F500" s="715"/>
      <c r="G500" s="666"/>
      <c r="H500" s="666"/>
      <c r="I500" s="6" t="s">
        <v>50</v>
      </c>
      <c r="J500" s="159"/>
      <c r="K500" s="11"/>
      <c r="L500" s="156"/>
      <c r="M500" s="15"/>
      <c r="N500" s="19"/>
      <c r="O500" s="13"/>
      <c r="P500" s="4"/>
      <c r="Q500" s="6"/>
      <c r="R500" s="10"/>
      <c r="S500" s="4"/>
      <c r="T500" s="4"/>
      <c r="U500" s="11"/>
      <c r="V500" s="16">
        <f>T501+120</f>
        <v>41163</v>
      </c>
      <c r="W500" s="4">
        <f>V500+365</f>
        <v>41528</v>
      </c>
      <c r="X500" s="12"/>
    </row>
    <row r="501" spans="1:24" x14ac:dyDescent="0.3">
      <c r="A501" s="657"/>
      <c r="B501" s="660"/>
      <c r="C501" s="666"/>
      <c r="D501" s="666"/>
      <c r="E501" s="666"/>
      <c r="F501" s="715"/>
      <c r="G501" s="666"/>
      <c r="H501" s="666"/>
      <c r="I501" s="6" t="s">
        <v>44</v>
      </c>
      <c r="J501" s="19">
        <v>40892</v>
      </c>
      <c r="K501" s="19">
        <v>40897</v>
      </c>
      <c r="L501" s="11"/>
      <c r="M501" s="15">
        <v>40948</v>
      </c>
      <c r="N501" s="19">
        <v>40975</v>
      </c>
      <c r="O501" s="7">
        <v>41008</v>
      </c>
      <c r="P501" s="4">
        <v>41011</v>
      </c>
      <c r="Q501" s="23" t="s">
        <v>44</v>
      </c>
      <c r="R501" s="14">
        <f>2367296.16/S2</f>
        <v>136444.36913181056</v>
      </c>
      <c r="S501" s="21">
        <v>41029</v>
      </c>
      <c r="T501" s="28">
        <v>41043</v>
      </c>
      <c r="U501" s="21"/>
      <c r="V501" s="37"/>
      <c r="W501" s="21"/>
      <c r="X501" s="12"/>
    </row>
    <row r="502" spans="1:24" x14ac:dyDescent="0.3">
      <c r="A502" s="658"/>
      <c r="B502" s="661"/>
      <c r="C502" s="667"/>
      <c r="D502" s="667"/>
      <c r="E502" s="667"/>
      <c r="F502" s="718"/>
      <c r="G502" s="667"/>
      <c r="H502" s="667"/>
      <c r="I502" s="310"/>
      <c r="J502" s="311"/>
      <c r="K502" s="311"/>
      <c r="L502" s="312"/>
      <c r="M502" s="313"/>
      <c r="N502" s="311"/>
      <c r="O502" s="311"/>
      <c r="P502" s="311"/>
      <c r="Q502" s="310"/>
      <c r="R502" s="314"/>
      <c r="S502" s="315"/>
      <c r="T502" s="311"/>
      <c r="U502" s="315"/>
      <c r="V502" s="316"/>
      <c r="W502" s="316"/>
      <c r="X502" s="317"/>
    </row>
    <row r="503" spans="1:24" x14ac:dyDescent="0.3">
      <c r="A503" s="656" t="s">
        <v>386</v>
      </c>
      <c r="B503" s="659" t="s">
        <v>387</v>
      </c>
      <c r="C503" s="665"/>
      <c r="D503" s="665" t="s">
        <v>93</v>
      </c>
      <c r="E503" s="665" t="s">
        <v>40</v>
      </c>
      <c r="F503" s="714">
        <f>709639.266706091/6</f>
        <v>118273.21111768183</v>
      </c>
      <c r="G503" s="665" t="s">
        <v>94</v>
      </c>
      <c r="H503" s="665" t="s">
        <v>94</v>
      </c>
      <c r="I503" s="6" t="s">
        <v>43</v>
      </c>
      <c r="J503" s="19">
        <v>40775</v>
      </c>
      <c r="K503" s="19">
        <v>40780</v>
      </c>
      <c r="L503" s="7"/>
      <c r="M503" s="9">
        <v>40791</v>
      </c>
      <c r="N503" s="7">
        <v>40821</v>
      </c>
      <c r="O503" s="13">
        <f>N505+10</f>
        <v>40985</v>
      </c>
      <c r="P503" s="29">
        <f>O503+3</f>
        <v>40988</v>
      </c>
      <c r="Q503" s="23" t="s">
        <v>43</v>
      </c>
      <c r="R503" s="14"/>
      <c r="S503" s="7">
        <f>P503+1</f>
        <v>40989</v>
      </c>
      <c r="T503" s="4">
        <f>7+S503</f>
        <v>40996</v>
      </c>
      <c r="U503" s="21"/>
      <c r="V503" s="4">
        <f>120+T503</f>
        <v>41116</v>
      </c>
      <c r="W503" s="4">
        <f>365+V503</f>
        <v>41481</v>
      </c>
      <c r="X503" s="12"/>
    </row>
    <row r="504" spans="1:24" x14ac:dyDescent="0.3">
      <c r="A504" s="657"/>
      <c r="B504" s="660"/>
      <c r="C504" s="666"/>
      <c r="D504" s="666"/>
      <c r="E504" s="666"/>
      <c r="F504" s="715"/>
      <c r="G504" s="666"/>
      <c r="H504" s="666"/>
      <c r="I504" s="6" t="s">
        <v>50</v>
      </c>
      <c r="J504" s="159"/>
      <c r="K504" s="11"/>
      <c r="L504" s="156"/>
      <c r="M504" s="15"/>
      <c r="N504" s="19"/>
      <c r="O504" s="13"/>
      <c r="P504" s="4"/>
      <c r="Q504" s="6"/>
      <c r="R504" s="10"/>
      <c r="S504" s="4"/>
      <c r="T504" s="4"/>
      <c r="U504" s="11"/>
      <c r="V504" s="16">
        <f>T505+120</f>
        <v>41163</v>
      </c>
      <c r="W504" s="4">
        <f>V504+365</f>
        <v>41528</v>
      </c>
      <c r="X504" s="12"/>
    </row>
    <row r="505" spans="1:24" x14ac:dyDescent="0.3">
      <c r="A505" s="657"/>
      <c r="B505" s="660"/>
      <c r="C505" s="666"/>
      <c r="D505" s="666"/>
      <c r="E505" s="666"/>
      <c r="F505" s="715"/>
      <c r="G505" s="666"/>
      <c r="H505" s="666"/>
      <c r="I505" s="6" t="s">
        <v>44</v>
      </c>
      <c r="J505" s="19">
        <v>40892</v>
      </c>
      <c r="K505" s="19">
        <v>40897</v>
      </c>
      <c r="L505" s="11"/>
      <c r="M505" s="15">
        <v>40948</v>
      </c>
      <c r="N505" s="19">
        <v>40975</v>
      </c>
      <c r="O505" s="7">
        <v>41008</v>
      </c>
      <c r="P505" s="4">
        <v>41011</v>
      </c>
      <c r="Q505" s="23" t="s">
        <v>44</v>
      </c>
      <c r="R505" s="14">
        <f>1943769.1/S2</f>
        <v>112033.44687865635</v>
      </c>
      <c r="S505" s="21">
        <v>41029</v>
      </c>
      <c r="T505" s="28">
        <v>41043</v>
      </c>
      <c r="U505" s="21"/>
      <c r="V505" s="37"/>
      <c r="W505" s="21"/>
      <c r="X505" s="12"/>
    </row>
    <row r="506" spans="1:24" x14ac:dyDescent="0.3">
      <c r="A506" s="658"/>
      <c r="B506" s="661"/>
      <c r="C506" s="667"/>
      <c r="D506" s="667"/>
      <c r="E506" s="667"/>
      <c r="F506" s="718"/>
      <c r="G506" s="667"/>
      <c r="H506" s="667"/>
      <c r="I506" s="310"/>
      <c r="J506" s="311"/>
      <c r="K506" s="311"/>
      <c r="L506" s="312"/>
      <c r="M506" s="313"/>
      <c r="N506" s="311"/>
      <c r="O506" s="311"/>
      <c r="P506" s="311"/>
      <c r="Q506" s="310"/>
      <c r="R506" s="314"/>
      <c r="S506" s="315"/>
      <c r="T506" s="311"/>
      <c r="U506" s="315"/>
      <c r="V506" s="316"/>
      <c r="W506" s="316"/>
      <c r="X506" s="317"/>
    </row>
    <row r="507" spans="1:24" x14ac:dyDescent="0.3">
      <c r="A507" s="656" t="s">
        <v>388</v>
      </c>
      <c r="B507" s="659" t="s">
        <v>312</v>
      </c>
      <c r="C507" s="665"/>
      <c r="D507" s="665" t="s">
        <v>93</v>
      </c>
      <c r="E507" s="665" t="s">
        <v>40</v>
      </c>
      <c r="F507" s="714">
        <f>709639.266706091/6</f>
        <v>118273.21111768183</v>
      </c>
      <c r="G507" s="665" t="s">
        <v>94</v>
      </c>
      <c r="H507" s="665" t="s">
        <v>94</v>
      </c>
      <c r="I507" s="6" t="s">
        <v>43</v>
      </c>
      <c r="J507" s="19">
        <v>40775</v>
      </c>
      <c r="K507" s="19">
        <v>40780</v>
      </c>
      <c r="L507" s="7"/>
      <c r="M507" s="9">
        <v>40791</v>
      </c>
      <c r="N507" s="7">
        <v>40821</v>
      </c>
      <c r="O507" s="13">
        <f>N509+10</f>
        <v>40985</v>
      </c>
      <c r="P507" s="29">
        <f>O507+3</f>
        <v>40988</v>
      </c>
      <c r="Q507" s="23" t="s">
        <v>43</v>
      </c>
      <c r="R507" s="14"/>
      <c r="S507" s="7">
        <f>P507+1</f>
        <v>40989</v>
      </c>
      <c r="T507" s="4">
        <f>7+S507</f>
        <v>40996</v>
      </c>
      <c r="U507" s="21"/>
      <c r="V507" s="4">
        <f>120+T507</f>
        <v>41116</v>
      </c>
      <c r="W507" s="4">
        <f>365+V507</f>
        <v>41481</v>
      </c>
      <c r="X507" s="12"/>
    </row>
    <row r="508" spans="1:24" x14ac:dyDescent="0.3">
      <c r="A508" s="657"/>
      <c r="B508" s="660"/>
      <c r="C508" s="666"/>
      <c r="D508" s="666"/>
      <c r="E508" s="666"/>
      <c r="F508" s="715"/>
      <c r="G508" s="666"/>
      <c r="H508" s="666"/>
      <c r="I508" s="6" t="s">
        <v>50</v>
      </c>
      <c r="J508" s="159"/>
      <c r="K508" s="11"/>
      <c r="L508" s="156"/>
      <c r="M508" s="15"/>
      <c r="N508" s="19"/>
      <c r="O508" s="13"/>
      <c r="P508" s="4"/>
      <c r="Q508" s="6"/>
      <c r="R508" s="10"/>
      <c r="S508" s="4"/>
      <c r="T508" s="4"/>
      <c r="U508" s="11"/>
      <c r="V508" s="16">
        <f>T509+120</f>
        <v>41167</v>
      </c>
      <c r="W508" s="4">
        <f>V508+365</f>
        <v>41532</v>
      </c>
      <c r="X508" s="12"/>
    </row>
    <row r="509" spans="1:24" ht="13.5" customHeight="1" x14ac:dyDescent="0.3">
      <c r="A509" s="657"/>
      <c r="B509" s="660"/>
      <c r="C509" s="666"/>
      <c r="D509" s="666"/>
      <c r="E509" s="666"/>
      <c r="F509" s="715"/>
      <c r="G509" s="666"/>
      <c r="H509" s="666"/>
      <c r="I509" s="6" t="s">
        <v>44</v>
      </c>
      <c r="J509" s="19">
        <v>40892</v>
      </c>
      <c r="K509" s="19">
        <v>40897</v>
      </c>
      <c r="L509" s="11"/>
      <c r="M509" s="15">
        <v>40948</v>
      </c>
      <c r="N509" s="19">
        <v>40975</v>
      </c>
      <c r="O509" s="7">
        <v>41008</v>
      </c>
      <c r="P509" s="4">
        <v>41011</v>
      </c>
      <c r="Q509" s="23" t="s">
        <v>44</v>
      </c>
      <c r="R509" s="14">
        <f>3837623.23/S2</f>
        <v>221189.93365955999</v>
      </c>
      <c r="S509" s="21">
        <v>41029</v>
      </c>
      <c r="T509" s="28">
        <v>41047</v>
      </c>
      <c r="U509" s="21"/>
      <c r="V509" s="37"/>
      <c r="W509" s="21"/>
      <c r="X509" s="12"/>
    </row>
    <row r="510" spans="1:24" x14ac:dyDescent="0.3">
      <c r="A510" s="658"/>
      <c r="B510" s="661"/>
      <c r="C510" s="667"/>
      <c r="D510" s="667"/>
      <c r="E510" s="667"/>
      <c r="F510" s="718"/>
      <c r="G510" s="667"/>
      <c r="H510" s="667"/>
      <c r="I510" s="310"/>
      <c r="J510" s="311"/>
      <c r="K510" s="311"/>
      <c r="L510" s="312"/>
      <c r="M510" s="313"/>
      <c r="N510" s="311"/>
      <c r="O510" s="311"/>
      <c r="P510" s="311"/>
      <c r="Q510" s="310"/>
      <c r="R510" s="314"/>
      <c r="S510" s="315"/>
      <c r="T510" s="311"/>
      <c r="U510" s="315"/>
      <c r="V510" s="316"/>
      <c r="W510" s="316"/>
      <c r="X510" s="317"/>
    </row>
    <row r="511" spans="1:24" x14ac:dyDescent="0.3">
      <c r="A511" s="656" t="s">
        <v>389</v>
      </c>
      <c r="B511" s="659" t="s">
        <v>282</v>
      </c>
      <c r="C511" s="665"/>
      <c r="D511" s="665" t="s">
        <v>93</v>
      </c>
      <c r="E511" s="665" t="s">
        <v>40</v>
      </c>
      <c r="F511" s="714">
        <f>709639.266706091/6</f>
        <v>118273.21111768183</v>
      </c>
      <c r="G511" s="665" t="s">
        <v>94</v>
      </c>
      <c r="H511" s="665" t="s">
        <v>94</v>
      </c>
      <c r="I511" s="6" t="s">
        <v>43</v>
      </c>
      <c r="J511" s="19">
        <v>40775</v>
      </c>
      <c r="K511" s="19">
        <v>40780</v>
      </c>
      <c r="L511" s="7"/>
      <c r="M511" s="9">
        <v>40791</v>
      </c>
      <c r="N511" s="7">
        <v>40821</v>
      </c>
      <c r="O511" s="13">
        <f>N513+10</f>
        <v>40985</v>
      </c>
      <c r="P511" s="29">
        <f>O511+3</f>
        <v>40988</v>
      </c>
      <c r="Q511" s="23" t="s">
        <v>43</v>
      </c>
      <c r="R511" s="14"/>
      <c r="S511" s="7">
        <f>P511+1</f>
        <v>40989</v>
      </c>
      <c r="T511" s="4">
        <f>7+S511</f>
        <v>40996</v>
      </c>
      <c r="U511" s="21"/>
      <c r="V511" s="4">
        <f>120+T511</f>
        <v>41116</v>
      </c>
      <c r="W511" s="4">
        <f>365+V511</f>
        <v>41481</v>
      </c>
      <c r="X511" s="12"/>
    </row>
    <row r="512" spans="1:24" x14ac:dyDescent="0.3">
      <c r="A512" s="657"/>
      <c r="B512" s="660"/>
      <c r="C512" s="666"/>
      <c r="D512" s="666"/>
      <c r="E512" s="666"/>
      <c r="F512" s="715"/>
      <c r="G512" s="666"/>
      <c r="H512" s="666"/>
      <c r="I512" s="6" t="s">
        <v>50</v>
      </c>
      <c r="J512" s="159"/>
      <c r="K512" s="11"/>
      <c r="L512" s="156"/>
      <c r="M512" s="15"/>
      <c r="N512" s="19"/>
      <c r="O512" s="13"/>
      <c r="P512" s="4"/>
      <c r="Q512" s="6"/>
      <c r="R512" s="10"/>
      <c r="S512" s="4"/>
      <c r="T512" s="4"/>
      <c r="U512" s="11"/>
      <c r="V512" s="16">
        <f>T513+120</f>
        <v>41157</v>
      </c>
      <c r="W512" s="4">
        <f>V512+365</f>
        <v>41522</v>
      </c>
      <c r="X512" s="12"/>
    </row>
    <row r="513" spans="1:24" x14ac:dyDescent="0.3">
      <c r="A513" s="657"/>
      <c r="B513" s="660"/>
      <c r="C513" s="666"/>
      <c r="D513" s="666"/>
      <c r="E513" s="666"/>
      <c r="F513" s="715"/>
      <c r="G513" s="666"/>
      <c r="H513" s="666"/>
      <c r="I513" s="6" t="s">
        <v>44</v>
      </c>
      <c r="J513" s="19">
        <v>40892</v>
      </c>
      <c r="K513" s="19">
        <v>40897</v>
      </c>
      <c r="L513" s="11"/>
      <c r="M513" s="15">
        <v>40948</v>
      </c>
      <c r="N513" s="19">
        <v>40975</v>
      </c>
      <c r="O513" s="7"/>
      <c r="P513" s="4"/>
      <c r="Q513" s="23" t="s">
        <v>44</v>
      </c>
      <c r="R513" s="14">
        <f>800940.3/S2</f>
        <v>46163.972126640496</v>
      </c>
      <c r="S513" s="21">
        <v>41029</v>
      </c>
      <c r="T513" s="28">
        <v>41037</v>
      </c>
      <c r="U513" s="21"/>
      <c r="V513" s="37"/>
      <c r="W513" s="21"/>
      <c r="X513" s="12"/>
    </row>
    <row r="514" spans="1:24" x14ac:dyDescent="0.3">
      <c r="A514" s="658"/>
      <c r="B514" s="661"/>
      <c r="C514" s="667"/>
      <c r="D514" s="667"/>
      <c r="E514" s="667"/>
      <c r="F514" s="718"/>
      <c r="G514" s="667"/>
      <c r="H514" s="667"/>
      <c r="I514" s="310"/>
      <c r="J514" s="311"/>
      <c r="K514" s="311"/>
      <c r="L514" s="312"/>
      <c r="M514" s="313"/>
      <c r="N514" s="311"/>
      <c r="O514" s="311"/>
      <c r="P514" s="311"/>
      <c r="Q514" s="310"/>
      <c r="R514" s="314"/>
      <c r="S514" s="315"/>
      <c r="T514" s="311"/>
      <c r="U514" s="315"/>
      <c r="V514" s="316"/>
      <c r="W514" s="316"/>
      <c r="X514" s="317"/>
    </row>
    <row r="515" spans="1:24" ht="15.6" x14ac:dyDescent="0.3">
      <c r="A515" s="707" t="s">
        <v>390</v>
      </c>
      <c r="B515" s="708"/>
      <c r="C515" s="387"/>
      <c r="D515" s="388"/>
      <c r="E515" s="388"/>
      <c r="F515" s="388"/>
      <c r="G515" s="388"/>
      <c r="H515" s="388"/>
      <c r="I515" s="388"/>
      <c r="J515" s="389"/>
      <c r="K515" s="389"/>
      <c r="L515" s="389"/>
      <c r="M515" s="389"/>
      <c r="N515" s="390"/>
      <c r="O515" s="389"/>
      <c r="P515" s="389"/>
      <c r="Q515" s="388"/>
      <c r="R515" s="389"/>
      <c r="S515" s="389"/>
      <c r="T515" s="391"/>
      <c r="U515" s="388"/>
      <c r="V515" s="388"/>
      <c r="W515" s="388"/>
      <c r="X515" s="392"/>
    </row>
    <row r="516" spans="1:24" x14ac:dyDescent="0.3">
      <c r="A516" s="656" t="s">
        <v>391</v>
      </c>
      <c r="B516" s="659" t="s">
        <v>392</v>
      </c>
      <c r="C516" s="665"/>
      <c r="D516" s="665" t="s">
        <v>93</v>
      </c>
      <c r="E516" s="665" t="s">
        <v>40</v>
      </c>
      <c r="F516" s="714">
        <v>473092.84447072737</v>
      </c>
      <c r="G516" s="665" t="s">
        <v>94</v>
      </c>
      <c r="H516" s="665" t="s">
        <v>94</v>
      </c>
      <c r="I516" s="6" t="s">
        <v>43</v>
      </c>
      <c r="J516" s="19">
        <v>40775</v>
      </c>
      <c r="K516" s="19">
        <v>40780</v>
      </c>
      <c r="L516" s="7"/>
      <c r="M516" s="9">
        <v>40791</v>
      </c>
      <c r="N516" s="7">
        <v>40821</v>
      </c>
      <c r="O516" s="13">
        <v>40836</v>
      </c>
      <c r="P516" s="29">
        <v>40841</v>
      </c>
      <c r="Q516" s="23" t="s">
        <v>43</v>
      </c>
      <c r="R516" s="14"/>
      <c r="S516" s="7">
        <v>40846</v>
      </c>
      <c r="T516" s="4">
        <v>40862</v>
      </c>
      <c r="U516" s="21"/>
      <c r="V516" s="4">
        <f>T516+195</f>
        <v>41057</v>
      </c>
      <c r="W516" s="4">
        <f>V516+365</f>
        <v>41422</v>
      </c>
      <c r="X516" s="12"/>
    </row>
    <row r="517" spans="1:24" x14ac:dyDescent="0.3">
      <c r="A517" s="657"/>
      <c r="B517" s="660"/>
      <c r="C517" s="666"/>
      <c r="D517" s="666"/>
      <c r="E517" s="666"/>
      <c r="F517" s="715"/>
      <c r="G517" s="666"/>
      <c r="H517" s="666"/>
      <c r="I517" s="6" t="s">
        <v>50</v>
      </c>
      <c r="J517" s="19">
        <v>40690</v>
      </c>
      <c r="K517" s="153" t="s">
        <v>753</v>
      </c>
      <c r="L517" s="156"/>
      <c r="M517" s="15">
        <v>41074</v>
      </c>
      <c r="N517" s="19">
        <f>M517+30</f>
        <v>41104</v>
      </c>
      <c r="O517" s="13">
        <f>N517+15</f>
        <v>41119</v>
      </c>
      <c r="P517" s="4">
        <v>41123</v>
      </c>
      <c r="Q517" s="6"/>
      <c r="R517" s="10"/>
      <c r="S517" s="4">
        <f>O517+7</f>
        <v>41126</v>
      </c>
      <c r="T517" s="16">
        <f>S517+20</f>
        <v>41146</v>
      </c>
      <c r="U517" s="11"/>
      <c r="V517" s="16">
        <f>T517+120</f>
        <v>41266</v>
      </c>
      <c r="W517" s="4">
        <f>V517+365</f>
        <v>41631</v>
      </c>
      <c r="X517" s="22"/>
    </row>
    <row r="518" spans="1:24" x14ac:dyDescent="0.3">
      <c r="A518" s="657"/>
      <c r="B518" s="660"/>
      <c r="C518" s="666"/>
      <c r="D518" s="666"/>
      <c r="E518" s="666"/>
      <c r="F518" s="715"/>
      <c r="G518" s="666"/>
      <c r="H518" s="666"/>
      <c r="I518" s="6" t="s">
        <v>44</v>
      </c>
      <c r="J518" s="19"/>
      <c r="K518" s="19"/>
      <c r="L518" s="11"/>
      <c r="M518" s="15"/>
      <c r="N518" s="19"/>
      <c r="O518" s="7"/>
      <c r="P518" s="4"/>
      <c r="Q518" s="23" t="s">
        <v>44</v>
      </c>
      <c r="R518" s="14"/>
      <c r="S518" s="163"/>
      <c r="T518" s="163"/>
      <c r="U518" s="21"/>
      <c r="V518" s="4"/>
      <c r="W518" s="21"/>
      <c r="X518" s="12"/>
    </row>
    <row r="519" spans="1:24" x14ac:dyDescent="0.3">
      <c r="A519" s="658"/>
      <c r="B519" s="661"/>
      <c r="C519" s="667"/>
      <c r="D519" s="667"/>
      <c r="E519" s="667"/>
      <c r="F519" s="718"/>
      <c r="G519" s="667"/>
      <c r="H519" s="667"/>
      <c r="I519" s="310"/>
      <c r="J519" s="311"/>
      <c r="K519" s="311"/>
      <c r="L519" s="312"/>
      <c r="M519" s="313"/>
      <c r="N519" s="311"/>
      <c r="O519" s="311"/>
      <c r="P519" s="311"/>
      <c r="Q519" s="310"/>
      <c r="R519" s="314"/>
      <c r="S519" s="315"/>
      <c r="T519" s="311"/>
      <c r="U519" s="315"/>
      <c r="V519" s="316"/>
      <c r="W519" s="316"/>
      <c r="X519" s="317"/>
    </row>
    <row r="520" spans="1:24" x14ac:dyDescent="0.3">
      <c r="A520" s="656" t="s">
        <v>393</v>
      </c>
      <c r="B520" s="659" t="s">
        <v>394</v>
      </c>
      <c r="C520" s="665"/>
      <c r="D520" s="665" t="s">
        <v>93</v>
      </c>
      <c r="E520" s="665" t="s">
        <v>40</v>
      </c>
      <c r="F520" s="714">
        <v>591366.05558840919</v>
      </c>
      <c r="G520" s="665" t="s">
        <v>94</v>
      </c>
      <c r="H520" s="665" t="s">
        <v>94</v>
      </c>
      <c r="I520" s="6" t="s">
        <v>43</v>
      </c>
      <c r="J520" s="19">
        <v>40775</v>
      </c>
      <c r="K520" s="19">
        <v>40780</v>
      </c>
      <c r="L520" s="7"/>
      <c r="M520" s="9">
        <v>40791</v>
      </c>
      <c r="N520" s="7">
        <v>40821</v>
      </c>
      <c r="O520" s="13">
        <v>40836</v>
      </c>
      <c r="P520" s="29">
        <v>40841</v>
      </c>
      <c r="Q520" s="23" t="s">
        <v>43</v>
      </c>
      <c r="R520" s="14"/>
      <c r="S520" s="7">
        <v>40846</v>
      </c>
      <c r="T520" s="4">
        <v>40862</v>
      </c>
      <c r="U520" s="21"/>
      <c r="V520" s="4">
        <f>T520+195</f>
        <v>41057</v>
      </c>
      <c r="W520" s="4">
        <f>V520+365</f>
        <v>41422</v>
      </c>
      <c r="X520" s="12"/>
    </row>
    <row r="521" spans="1:24" x14ac:dyDescent="0.3">
      <c r="A521" s="657"/>
      <c r="B521" s="660"/>
      <c r="C521" s="666"/>
      <c r="D521" s="666"/>
      <c r="E521" s="666"/>
      <c r="F521" s="715"/>
      <c r="G521" s="666"/>
      <c r="H521" s="666"/>
      <c r="I521" s="6" t="s">
        <v>50</v>
      </c>
      <c r="J521" s="19">
        <v>40690</v>
      </c>
      <c r="K521" s="153" t="s">
        <v>753</v>
      </c>
      <c r="L521" s="156"/>
      <c r="M521" s="15">
        <v>41074</v>
      </c>
      <c r="N521" s="19">
        <f>M521+30</f>
        <v>41104</v>
      </c>
      <c r="O521" s="13">
        <f>N521+15</f>
        <v>41119</v>
      </c>
      <c r="P521" s="4">
        <v>41123</v>
      </c>
      <c r="Q521" s="6"/>
      <c r="R521" s="10"/>
      <c r="S521" s="4">
        <f>O521+7</f>
        <v>41126</v>
      </c>
      <c r="T521" s="16">
        <f>S521+20</f>
        <v>41146</v>
      </c>
      <c r="U521" s="11"/>
      <c r="V521" s="16">
        <f>T521+120</f>
        <v>41266</v>
      </c>
      <c r="W521" s="4">
        <f>V521+365</f>
        <v>41631</v>
      </c>
      <c r="X521" s="12"/>
    </row>
    <row r="522" spans="1:24" x14ac:dyDescent="0.3">
      <c r="A522" s="657"/>
      <c r="B522" s="660"/>
      <c r="C522" s="666"/>
      <c r="D522" s="666"/>
      <c r="E522" s="666"/>
      <c r="F522" s="715"/>
      <c r="G522" s="666"/>
      <c r="H522" s="666"/>
      <c r="I522" s="6" t="s">
        <v>44</v>
      </c>
      <c r="J522" s="19"/>
      <c r="K522" s="19"/>
      <c r="L522" s="11"/>
      <c r="M522" s="15"/>
      <c r="N522" s="19"/>
      <c r="O522" s="7"/>
      <c r="P522" s="4"/>
      <c r="Q522" s="23" t="s">
        <v>44</v>
      </c>
      <c r="R522" s="36"/>
      <c r="S522" s="21"/>
      <c r="T522" s="28"/>
      <c r="U522" s="21"/>
      <c r="V522" s="4"/>
      <c r="W522" s="21"/>
      <c r="X522" s="12"/>
    </row>
    <row r="523" spans="1:24" x14ac:dyDescent="0.3">
      <c r="A523" s="658"/>
      <c r="B523" s="661"/>
      <c r="C523" s="667"/>
      <c r="D523" s="667"/>
      <c r="E523" s="667"/>
      <c r="F523" s="718"/>
      <c r="G523" s="667"/>
      <c r="H523" s="667"/>
      <c r="I523" s="310"/>
      <c r="J523" s="311"/>
      <c r="K523" s="311"/>
      <c r="L523" s="312"/>
      <c r="M523" s="313"/>
      <c r="N523" s="311"/>
      <c r="O523" s="311"/>
      <c r="P523" s="311"/>
      <c r="Q523" s="310"/>
      <c r="R523" s="314"/>
      <c r="S523" s="315"/>
      <c r="T523" s="311"/>
      <c r="U523" s="315"/>
      <c r="V523" s="316"/>
      <c r="W523" s="316"/>
      <c r="X523" s="317"/>
    </row>
  </sheetData>
  <mergeCells count="1103">
    <mergeCell ref="A37:B37"/>
    <mergeCell ref="A50:B50"/>
    <mergeCell ref="A56:B56"/>
    <mergeCell ref="A93:B93"/>
    <mergeCell ref="A121:B121"/>
    <mergeCell ref="A170:B170"/>
    <mergeCell ref="A515:B515"/>
    <mergeCell ref="D134:D136"/>
    <mergeCell ref="D137:D139"/>
    <mergeCell ref="D140:D142"/>
    <mergeCell ref="D143:D145"/>
    <mergeCell ref="D146:D148"/>
    <mergeCell ref="D149:D151"/>
    <mergeCell ref="D152:D154"/>
    <mergeCell ref="D155:D157"/>
    <mergeCell ref="D158:D160"/>
    <mergeCell ref="D161:D163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F137:F139"/>
    <mergeCell ref="F140:F142"/>
    <mergeCell ref="F143:F145"/>
    <mergeCell ref="F146:F148"/>
    <mergeCell ref="F149:F151"/>
    <mergeCell ref="F152:F154"/>
    <mergeCell ref="F155:F157"/>
    <mergeCell ref="F158:F160"/>
    <mergeCell ref="F161:F163"/>
    <mergeCell ref="F164:F166"/>
    <mergeCell ref="F167:F169"/>
    <mergeCell ref="C134:C136"/>
    <mergeCell ref="C137:C139"/>
    <mergeCell ref="C140:C142"/>
    <mergeCell ref="C143:C145"/>
    <mergeCell ref="C146:C148"/>
    <mergeCell ref="C149:C151"/>
    <mergeCell ref="C152:C154"/>
    <mergeCell ref="C155:C157"/>
    <mergeCell ref="C158:C160"/>
    <mergeCell ref="C161:C163"/>
    <mergeCell ref="C164:C166"/>
    <mergeCell ref="C167:C169"/>
    <mergeCell ref="A483:A486"/>
    <mergeCell ref="B483:B486"/>
    <mergeCell ref="C483:C486"/>
    <mergeCell ref="D483:D486"/>
    <mergeCell ref="E483:E486"/>
    <mergeCell ref="A475:A478"/>
    <mergeCell ref="B475:B478"/>
    <mergeCell ref="C475:C478"/>
    <mergeCell ref="D475:D478"/>
    <mergeCell ref="E475:E478"/>
    <mergeCell ref="A443:A446"/>
    <mergeCell ref="B443:B446"/>
    <mergeCell ref="C443:C446"/>
    <mergeCell ref="D443:D446"/>
    <mergeCell ref="E443:E446"/>
    <mergeCell ref="D164:D166"/>
    <mergeCell ref="D167:D169"/>
    <mergeCell ref="E137:E139"/>
    <mergeCell ref="E140:E142"/>
    <mergeCell ref="E143:E145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B134:B136"/>
    <mergeCell ref="B137:B139"/>
    <mergeCell ref="B140:B142"/>
    <mergeCell ref="B143:B145"/>
    <mergeCell ref="A511:A514"/>
    <mergeCell ref="B511:B514"/>
    <mergeCell ref="A516:A519"/>
    <mergeCell ref="B516:B519"/>
    <mergeCell ref="C516:C519"/>
    <mergeCell ref="D516:D519"/>
    <mergeCell ref="E516:E519"/>
    <mergeCell ref="F516:F519"/>
    <mergeCell ref="G516:G519"/>
    <mergeCell ref="H516:H519"/>
    <mergeCell ref="A520:A523"/>
    <mergeCell ref="B520:B523"/>
    <mergeCell ref="C520:C523"/>
    <mergeCell ref="D520:D523"/>
    <mergeCell ref="E520:E523"/>
    <mergeCell ref="F520:F523"/>
    <mergeCell ref="G520:G523"/>
    <mergeCell ref="H520:H523"/>
    <mergeCell ref="A507:A510"/>
    <mergeCell ref="B507:B510"/>
    <mergeCell ref="C507:C510"/>
    <mergeCell ref="D507:D510"/>
    <mergeCell ref="E507:E510"/>
    <mergeCell ref="F507:F510"/>
    <mergeCell ref="G507:G510"/>
    <mergeCell ref="H507:H510"/>
    <mergeCell ref="C511:C514"/>
    <mergeCell ref="D511:D514"/>
    <mergeCell ref="E511:E514"/>
    <mergeCell ref="F511:F514"/>
    <mergeCell ref="G511:G514"/>
    <mergeCell ref="H511:H514"/>
    <mergeCell ref="A495:A498"/>
    <mergeCell ref="B495:B498"/>
    <mergeCell ref="C495:C498"/>
    <mergeCell ref="D495:D498"/>
    <mergeCell ref="E495:E498"/>
    <mergeCell ref="F495:F498"/>
    <mergeCell ref="G495:G498"/>
    <mergeCell ref="H495:H498"/>
    <mergeCell ref="A499:A502"/>
    <mergeCell ref="B499:B502"/>
    <mergeCell ref="C499:C502"/>
    <mergeCell ref="D499:D502"/>
    <mergeCell ref="E499:E502"/>
    <mergeCell ref="F499:F502"/>
    <mergeCell ref="G499:G502"/>
    <mergeCell ref="H499:H502"/>
    <mergeCell ref="A503:A506"/>
    <mergeCell ref="B503:B506"/>
    <mergeCell ref="C503:C506"/>
    <mergeCell ref="D503:D506"/>
    <mergeCell ref="E503:E506"/>
    <mergeCell ref="F503:F506"/>
    <mergeCell ref="G503:G506"/>
    <mergeCell ref="H503:H506"/>
    <mergeCell ref="F483:F486"/>
    <mergeCell ref="G483:G486"/>
    <mergeCell ref="H483:H486"/>
    <mergeCell ref="A487:A490"/>
    <mergeCell ref="B487:B490"/>
    <mergeCell ref="C487:C490"/>
    <mergeCell ref="D487:D490"/>
    <mergeCell ref="E487:E490"/>
    <mergeCell ref="F487:F490"/>
    <mergeCell ref="G487:G490"/>
    <mergeCell ref="H487:H490"/>
    <mergeCell ref="A491:A494"/>
    <mergeCell ref="B491:B494"/>
    <mergeCell ref="C491:C494"/>
    <mergeCell ref="D491:D494"/>
    <mergeCell ref="E491:E494"/>
    <mergeCell ref="F491:F494"/>
    <mergeCell ref="G491:G494"/>
    <mergeCell ref="H491:H494"/>
    <mergeCell ref="F475:F478"/>
    <mergeCell ref="G475:G478"/>
    <mergeCell ref="H475:H478"/>
    <mergeCell ref="A479:A482"/>
    <mergeCell ref="B479:B482"/>
    <mergeCell ref="C479:C482"/>
    <mergeCell ref="D479:D482"/>
    <mergeCell ref="E479:E482"/>
    <mergeCell ref="F479:F482"/>
    <mergeCell ref="G479:G482"/>
    <mergeCell ref="H479:H482"/>
    <mergeCell ref="A463:A466"/>
    <mergeCell ref="B463:B466"/>
    <mergeCell ref="C463:C466"/>
    <mergeCell ref="D463:D466"/>
    <mergeCell ref="E463:E466"/>
    <mergeCell ref="F463:F466"/>
    <mergeCell ref="G463:G466"/>
    <mergeCell ref="H463:H466"/>
    <mergeCell ref="A467:A470"/>
    <mergeCell ref="B467:B470"/>
    <mergeCell ref="C467:C470"/>
    <mergeCell ref="D467:D470"/>
    <mergeCell ref="E467:E470"/>
    <mergeCell ref="F467:F470"/>
    <mergeCell ref="G467:G470"/>
    <mergeCell ref="H467:H470"/>
    <mergeCell ref="A471:A474"/>
    <mergeCell ref="B471:B474"/>
    <mergeCell ref="C471:C474"/>
    <mergeCell ref="D471:D474"/>
    <mergeCell ref="E471:E474"/>
    <mergeCell ref="F471:F474"/>
    <mergeCell ref="G471:G474"/>
    <mergeCell ref="H471:H474"/>
    <mergeCell ref="A451:A454"/>
    <mergeCell ref="B451:B454"/>
    <mergeCell ref="C451:C454"/>
    <mergeCell ref="D451:D454"/>
    <mergeCell ref="E451:E454"/>
    <mergeCell ref="F451:F454"/>
    <mergeCell ref="G451:G454"/>
    <mergeCell ref="H451:H454"/>
    <mergeCell ref="A455:A458"/>
    <mergeCell ref="B455:B458"/>
    <mergeCell ref="C455:C458"/>
    <mergeCell ref="D455:D458"/>
    <mergeCell ref="E455:E458"/>
    <mergeCell ref="F455:F458"/>
    <mergeCell ref="G455:G458"/>
    <mergeCell ref="H455:H458"/>
    <mergeCell ref="A459:A462"/>
    <mergeCell ref="B459:B462"/>
    <mergeCell ref="C459:C462"/>
    <mergeCell ref="D459:D462"/>
    <mergeCell ref="E459:E462"/>
    <mergeCell ref="F459:F462"/>
    <mergeCell ref="G459:G462"/>
    <mergeCell ref="H459:H462"/>
    <mergeCell ref="F443:F446"/>
    <mergeCell ref="G443:G446"/>
    <mergeCell ref="H443:H446"/>
    <mergeCell ref="A447:A450"/>
    <mergeCell ref="B447:B450"/>
    <mergeCell ref="C447:C450"/>
    <mergeCell ref="D447:D450"/>
    <mergeCell ref="E447:E450"/>
    <mergeCell ref="F447:F450"/>
    <mergeCell ref="G447:G450"/>
    <mergeCell ref="H447:H450"/>
    <mergeCell ref="A435:A438"/>
    <mergeCell ref="B435:B438"/>
    <mergeCell ref="C435:C438"/>
    <mergeCell ref="D435:D438"/>
    <mergeCell ref="E435:E438"/>
    <mergeCell ref="F435:F438"/>
    <mergeCell ref="G435:G438"/>
    <mergeCell ref="H435:H438"/>
    <mergeCell ref="A439:A442"/>
    <mergeCell ref="B439:B442"/>
    <mergeCell ref="C439:C442"/>
    <mergeCell ref="D439:D442"/>
    <mergeCell ref="E439:E442"/>
    <mergeCell ref="F439:F442"/>
    <mergeCell ref="G439:G442"/>
    <mergeCell ref="H439:H442"/>
    <mergeCell ref="A419:A422"/>
    <mergeCell ref="B419:B422"/>
    <mergeCell ref="C419:C422"/>
    <mergeCell ref="D419:D422"/>
    <mergeCell ref="E419:E422"/>
    <mergeCell ref="F419:F422"/>
    <mergeCell ref="G419:G422"/>
    <mergeCell ref="H419:H422"/>
    <mergeCell ref="A423:A426"/>
    <mergeCell ref="B423:B426"/>
    <mergeCell ref="C423:C426"/>
    <mergeCell ref="D423:D426"/>
    <mergeCell ref="E423:E426"/>
    <mergeCell ref="F423:F426"/>
    <mergeCell ref="G423:G426"/>
    <mergeCell ref="H423:H426"/>
    <mergeCell ref="A427:A430"/>
    <mergeCell ref="B427:B430"/>
    <mergeCell ref="C427:C430"/>
    <mergeCell ref="D427:D430"/>
    <mergeCell ref="E427:E430"/>
    <mergeCell ref="F427:F430"/>
    <mergeCell ref="G427:G430"/>
    <mergeCell ref="H427:H430"/>
    <mergeCell ref="A407:A410"/>
    <mergeCell ref="B407:B410"/>
    <mergeCell ref="C407:C410"/>
    <mergeCell ref="D407:D410"/>
    <mergeCell ref="E407:E410"/>
    <mergeCell ref="F407:F410"/>
    <mergeCell ref="G407:G410"/>
    <mergeCell ref="H407:H410"/>
    <mergeCell ref="A411:A414"/>
    <mergeCell ref="B411:B414"/>
    <mergeCell ref="C411:C414"/>
    <mergeCell ref="D411:D414"/>
    <mergeCell ref="E411:E414"/>
    <mergeCell ref="F411:F414"/>
    <mergeCell ref="G411:G414"/>
    <mergeCell ref="H411:H414"/>
    <mergeCell ref="A415:A418"/>
    <mergeCell ref="B415:B418"/>
    <mergeCell ref="C415:C418"/>
    <mergeCell ref="D415:D418"/>
    <mergeCell ref="E415:E418"/>
    <mergeCell ref="F415:F418"/>
    <mergeCell ref="G415:G418"/>
    <mergeCell ref="H415:H418"/>
    <mergeCell ref="A395:A398"/>
    <mergeCell ref="B395:B398"/>
    <mergeCell ref="C395:C398"/>
    <mergeCell ref="D395:D398"/>
    <mergeCell ref="E395:E398"/>
    <mergeCell ref="F395:F398"/>
    <mergeCell ref="G395:G398"/>
    <mergeCell ref="H395:H398"/>
    <mergeCell ref="A399:A402"/>
    <mergeCell ref="B399:B402"/>
    <mergeCell ref="C399:C402"/>
    <mergeCell ref="D399:D402"/>
    <mergeCell ref="E399:E402"/>
    <mergeCell ref="F399:F402"/>
    <mergeCell ref="G399:G402"/>
    <mergeCell ref="H399:H402"/>
    <mergeCell ref="A403:A406"/>
    <mergeCell ref="B403:B406"/>
    <mergeCell ref="C403:C406"/>
    <mergeCell ref="D403:D406"/>
    <mergeCell ref="E403:E406"/>
    <mergeCell ref="F403:F406"/>
    <mergeCell ref="G403:G406"/>
    <mergeCell ref="H403:H406"/>
    <mergeCell ref="A383:A386"/>
    <mergeCell ref="B383:B386"/>
    <mergeCell ref="C383:C386"/>
    <mergeCell ref="D383:D386"/>
    <mergeCell ref="E383:E386"/>
    <mergeCell ref="F383:F386"/>
    <mergeCell ref="G383:G386"/>
    <mergeCell ref="H383:H386"/>
    <mergeCell ref="A387:A390"/>
    <mergeCell ref="B387:B390"/>
    <mergeCell ref="C387:C390"/>
    <mergeCell ref="D387:D390"/>
    <mergeCell ref="E387:E390"/>
    <mergeCell ref="F387:F390"/>
    <mergeCell ref="G387:G390"/>
    <mergeCell ref="H387:H390"/>
    <mergeCell ref="A391:A394"/>
    <mergeCell ref="B391:B394"/>
    <mergeCell ref="C391:C394"/>
    <mergeCell ref="D391:D394"/>
    <mergeCell ref="E391:E394"/>
    <mergeCell ref="F391:F394"/>
    <mergeCell ref="G391:G394"/>
    <mergeCell ref="H391:H394"/>
    <mergeCell ref="A371:A374"/>
    <mergeCell ref="B371:B374"/>
    <mergeCell ref="C371:C374"/>
    <mergeCell ref="D371:D374"/>
    <mergeCell ref="E371:E374"/>
    <mergeCell ref="F371:F374"/>
    <mergeCell ref="G371:G374"/>
    <mergeCell ref="H371:H374"/>
    <mergeCell ref="A375:A378"/>
    <mergeCell ref="B375:B378"/>
    <mergeCell ref="C375:C378"/>
    <mergeCell ref="D375:D378"/>
    <mergeCell ref="E375:E378"/>
    <mergeCell ref="F375:F378"/>
    <mergeCell ref="G375:G378"/>
    <mergeCell ref="H375:H378"/>
    <mergeCell ref="A379:A382"/>
    <mergeCell ref="B379:B382"/>
    <mergeCell ref="C379:C382"/>
    <mergeCell ref="D379:D382"/>
    <mergeCell ref="E379:E382"/>
    <mergeCell ref="F379:F382"/>
    <mergeCell ref="G379:G382"/>
    <mergeCell ref="H379:H382"/>
    <mergeCell ref="A359:A362"/>
    <mergeCell ref="B359:B362"/>
    <mergeCell ref="C359:C362"/>
    <mergeCell ref="D359:D362"/>
    <mergeCell ref="E359:E362"/>
    <mergeCell ref="F359:F362"/>
    <mergeCell ref="G359:G362"/>
    <mergeCell ref="H359:H362"/>
    <mergeCell ref="A363:A366"/>
    <mergeCell ref="B363:B366"/>
    <mergeCell ref="C363:C366"/>
    <mergeCell ref="D363:D366"/>
    <mergeCell ref="E363:E366"/>
    <mergeCell ref="F363:F366"/>
    <mergeCell ref="G363:G366"/>
    <mergeCell ref="H363:H366"/>
    <mergeCell ref="A367:A370"/>
    <mergeCell ref="B367:B370"/>
    <mergeCell ref="C367:C370"/>
    <mergeCell ref="D367:D370"/>
    <mergeCell ref="E367:E370"/>
    <mergeCell ref="F367:F370"/>
    <mergeCell ref="G367:G370"/>
    <mergeCell ref="H367:H370"/>
    <mergeCell ref="A347:A350"/>
    <mergeCell ref="B347:B350"/>
    <mergeCell ref="C347:C350"/>
    <mergeCell ref="D347:D350"/>
    <mergeCell ref="E347:E350"/>
    <mergeCell ref="F347:F350"/>
    <mergeCell ref="G347:G350"/>
    <mergeCell ref="H347:H350"/>
    <mergeCell ref="A351:A354"/>
    <mergeCell ref="B351:B354"/>
    <mergeCell ref="C351:C354"/>
    <mergeCell ref="D351:D354"/>
    <mergeCell ref="E351:E354"/>
    <mergeCell ref="F351:F354"/>
    <mergeCell ref="G351:G354"/>
    <mergeCell ref="H351:H354"/>
    <mergeCell ref="A355:A358"/>
    <mergeCell ref="B355:B358"/>
    <mergeCell ref="C355:C358"/>
    <mergeCell ref="D355:D358"/>
    <mergeCell ref="E355:E358"/>
    <mergeCell ref="F355:F358"/>
    <mergeCell ref="G355:G358"/>
    <mergeCell ref="H355:H358"/>
    <mergeCell ref="A335:A338"/>
    <mergeCell ref="B335:B338"/>
    <mergeCell ref="C335:C338"/>
    <mergeCell ref="D335:D338"/>
    <mergeCell ref="E335:E338"/>
    <mergeCell ref="F335:F338"/>
    <mergeCell ref="G335:G338"/>
    <mergeCell ref="H335:H338"/>
    <mergeCell ref="A339:A342"/>
    <mergeCell ref="B339:B342"/>
    <mergeCell ref="C339:C342"/>
    <mergeCell ref="D339:D342"/>
    <mergeCell ref="E339:E342"/>
    <mergeCell ref="F339:F342"/>
    <mergeCell ref="G339:G342"/>
    <mergeCell ref="H339:H342"/>
    <mergeCell ref="A343:A346"/>
    <mergeCell ref="B343:B346"/>
    <mergeCell ref="C343:C346"/>
    <mergeCell ref="D343:D346"/>
    <mergeCell ref="E343:E346"/>
    <mergeCell ref="F343:F346"/>
    <mergeCell ref="G343:G346"/>
    <mergeCell ref="H343:H346"/>
    <mergeCell ref="A323:A326"/>
    <mergeCell ref="B323:B326"/>
    <mergeCell ref="C323:C326"/>
    <mergeCell ref="D323:D326"/>
    <mergeCell ref="E323:E326"/>
    <mergeCell ref="F323:F326"/>
    <mergeCell ref="G323:G326"/>
    <mergeCell ref="H323:H326"/>
    <mergeCell ref="A327:A330"/>
    <mergeCell ref="B327:B330"/>
    <mergeCell ref="C327:C330"/>
    <mergeCell ref="D327:D330"/>
    <mergeCell ref="E327:E330"/>
    <mergeCell ref="F327:F330"/>
    <mergeCell ref="G327:G330"/>
    <mergeCell ref="H327:H330"/>
    <mergeCell ref="A331:A334"/>
    <mergeCell ref="B331:B334"/>
    <mergeCell ref="C331:C334"/>
    <mergeCell ref="D331:D334"/>
    <mergeCell ref="E331:E334"/>
    <mergeCell ref="F331:F334"/>
    <mergeCell ref="G331:G334"/>
    <mergeCell ref="H331:H334"/>
    <mergeCell ref="A311:A314"/>
    <mergeCell ref="B311:B314"/>
    <mergeCell ref="C311:C314"/>
    <mergeCell ref="D311:D314"/>
    <mergeCell ref="E311:E314"/>
    <mergeCell ref="F311:F314"/>
    <mergeCell ref="G311:G314"/>
    <mergeCell ref="H311:H314"/>
    <mergeCell ref="A315:A318"/>
    <mergeCell ref="B315:B318"/>
    <mergeCell ref="C315:C318"/>
    <mergeCell ref="D315:D318"/>
    <mergeCell ref="E315:E318"/>
    <mergeCell ref="F315:F318"/>
    <mergeCell ref="G315:G318"/>
    <mergeCell ref="H315:H318"/>
    <mergeCell ref="A319:A322"/>
    <mergeCell ref="B319:B322"/>
    <mergeCell ref="C319:C322"/>
    <mergeCell ref="D319:D322"/>
    <mergeCell ref="E319:E322"/>
    <mergeCell ref="F319:F322"/>
    <mergeCell ref="G319:G322"/>
    <mergeCell ref="H319:H322"/>
    <mergeCell ref="A299:A302"/>
    <mergeCell ref="B299:B302"/>
    <mergeCell ref="C299:C302"/>
    <mergeCell ref="D299:D302"/>
    <mergeCell ref="E299:E302"/>
    <mergeCell ref="F299:F302"/>
    <mergeCell ref="G299:G302"/>
    <mergeCell ref="H299:H302"/>
    <mergeCell ref="A303:A306"/>
    <mergeCell ref="B303:B306"/>
    <mergeCell ref="C303:C306"/>
    <mergeCell ref="D303:D306"/>
    <mergeCell ref="E303:E306"/>
    <mergeCell ref="F303:F306"/>
    <mergeCell ref="G303:G306"/>
    <mergeCell ref="H303:H306"/>
    <mergeCell ref="A307:A310"/>
    <mergeCell ref="B307:B310"/>
    <mergeCell ref="C307:C310"/>
    <mergeCell ref="D307:D310"/>
    <mergeCell ref="E307:E310"/>
    <mergeCell ref="F307:F310"/>
    <mergeCell ref="G307:G310"/>
    <mergeCell ref="H307:H310"/>
    <mergeCell ref="A287:A290"/>
    <mergeCell ref="B287:B290"/>
    <mergeCell ref="C287:C290"/>
    <mergeCell ref="D287:D290"/>
    <mergeCell ref="E287:E290"/>
    <mergeCell ref="F287:F290"/>
    <mergeCell ref="G287:G290"/>
    <mergeCell ref="H287:H290"/>
    <mergeCell ref="A291:A294"/>
    <mergeCell ref="B291:B294"/>
    <mergeCell ref="C291:C294"/>
    <mergeCell ref="D291:D294"/>
    <mergeCell ref="E291:E294"/>
    <mergeCell ref="F291:F294"/>
    <mergeCell ref="G291:G294"/>
    <mergeCell ref="H291:H294"/>
    <mergeCell ref="A295:A298"/>
    <mergeCell ref="B295:B298"/>
    <mergeCell ref="C295:C298"/>
    <mergeCell ref="D295:D298"/>
    <mergeCell ref="E295:E298"/>
    <mergeCell ref="F295:F298"/>
    <mergeCell ref="G295:G298"/>
    <mergeCell ref="H295:H298"/>
    <mergeCell ref="A275:A278"/>
    <mergeCell ref="B275:B278"/>
    <mergeCell ref="C275:C278"/>
    <mergeCell ref="D275:D278"/>
    <mergeCell ref="E275:E278"/>
    <mergeCell ref="F275:F278"/>
    <mergeCell ref="G275:G278"/>
    <mergeCell ref="H275:H278"/>
    <mergeCell ref="A279:A282"/>
    <mergeCell ref="B279:B282"/>
    <mergeCell ref="C279:C282"/>
    <mergeCell ref="D279:D282"/>
    <mergeCell ref="E279:E282"/>
    <mergeCell ref="F279:F282"/>
    <mergeCell ref="G279:G282"/>
    <mergeCell ref="H279:H282"/>
    <mergeCell ref="A283:A286"/>
    <mergeCell ref="B283:B286"/>
    <mergeCell ref="C283:C286"/>
    <mergeCell ref="D283:D286"/>
    <mergeCell ref="E283:E286"/>
    <mergeCell ref="F283:F286"/>
    <mergeCell ref="G283:G286"/>
    <mergeCell ref="H283:H286"/>
    <mergeCell ref="A263:A266"/>
    <mergeCell ref="B263:B266"/>
    <mergeCell ref="C263:C266"/>
    <mergeCell ref="D263:D266"/>
    <mergeCell ref="E263:E266"/>
    <mergeCell ref="F263:F266"/>
    <mergeCell ref="G263:G266"/>
    <mergeCell ref="H263:H266"/>
    <mergeCell ref="A267:A270"/>
    <mergeCell ref="B267:B270"/>
    <mergeCell ref="C267:C270"/>
    <mergeCell ref="D267:D270"/>
    <mergeCell ref="E267:E270"/>
    <mergeCell ref="F267:F270"/>
    <mergeCell ref="G267:G270"/>
    <mergeCell ref="H267:H270"/>
    <mergeCell ref="A271:A274"/>
    <mergeCell ref="B271:B274"/>
    <mergeCell ref="C271:C274"/>
    <mergeCell ref="D271:D274"/>
    <mergeCell ref="E271:E274"/>
    <mergeCell ref="F271:F274"/>
    <mergeCell ref="G271:G274"/>
    <mergeCell ref="H271:H274"/>
    <mergeCell ref="A251:A254"/>
    <mergeCell ref="B251:B254"/>
    <mergeCell ref="C251:C254"/>
    <mergeCell ref="D251:D254"/>
    <mergeCell ref="E251:E254"/>
    <mergeCell ref="F251:F254"/>
    <mergeCell ref="G251:G254"/>
    <mergeCell ref="H251:H254"/>
    <mergeCell ref="A255:A258"/>
    <mergeCell ref="B255:B258"/>
    <mergeCell ref="C255:C258"/>
    <mergeCell ref="D255:D258"/>
    <mergeCell ref="E255:E258"/>
    <mergeCell ref="F255:F258"/>
    <mergeCell ref="G255:G258"/>
    <mergeCell ref="H255:H258"/>
    <mergeCell ref="A259:A262"/>
    <mergeCell ref="B259:B262"/>
    <mergeCell ref="C259:C262"/>
    <mergeCell ref="D259:D262"/>
    <mergeCell ref="E259:E262"/>
    <mergeCell ref="F259:F262"/>
    <mergeCell ref="G259:G262"/>
    <mergeCell ref="H259:H262"/>
    <mergeCell ref="D220:D223"/>
    <mergeCell ref="H220:H223"/>
    <mergeCell ref="G230:G234"/>
    <mergeCell ref="H230:H234"/>
    <mergeCell ref="F235:F238"/>
    <mergeCell ref="A239:A242"/>
    <mergeCell ref="B239:B242"/>
    <mergeCell ref="C239:C242"/>
    <mergeCell ref="A243:A246"/>
    <mergeCell ref="B243:B246"/>
    <mergeCell ref="C243:C246"/>
    <mergeCell ref="D243:D246"/>
    <mergeCell ref="E243:E246"/>
    <mergeCell ref="F243:F246"/>
    <mergeCell ref="G243:G246"/>
    <mergeCell ref="H243:H246"/>
    <mergeCell ref="A247:A250"/>
    <mergeCell ref="B247:B250"/>
    <mergeCell ref="C247:C250"/>
    <mergeCell ref="D247:D250"/>
    <mergeCell ref="E247:E250"/>
    <mergeCell ref="F247:F250"/>
    <mergeCell ref="G247:G250"/>
    <mergeCell ref="H247:H250"/>
    <mergeCell ref="G235:G238"/>
    <mergeCell ref="H235:H238"/>
    <mergeCell ref="E239:E242"/>
    <mergeCell ref="F239:F242"/>
    <mergeCell ref="G239:G242"/>
    <mergeCell ref="H239:H242"/>
    <mergeCell ref="A206:A208"/>
    <mergeCell ref="B206:B208"/>
    <mergeCell ref="C206:C208"/>
    <mergeCell ref="D206:D208"/>
    <mergeCell ref="E206:E208"/>
    <mergeCell ref="F206:F208"/>
    <mergeCell ref="G206:G208"/>
    <mergeCell ref="H206:H208"/>
    <mergeCell ref="H225:H228"/>
    <mergeCell ref="A230:A233"/>
    <mergeCell ref="B230:B233"/>
    <mergeCell ref="C230:C233"/>
    <mergeCell ref="D230:D233"/>
    <mergeCell ref="E230:E233"/>
    <mergeCell ref="F230:F233"/>
    <mergeCell ref="C210:C213"/>
    <mergeCell ref="D210:D213"/>
    <mergeCell ref="E210:E213"/>
    <mergeCell ref="F210:F213"/>
    <mergeCell ref="G210:G213"/>
    <mergeCell ref="H210:H213"/>
    <mergeCell ref="A215:A218"/>
    <mergeCell ref="B215:B218"/>
    <mergeCell ref="C215:C218"/>
    <mergeCell ref="D215:D218"/>
    <mergeCell ref="E215:E218"/>
    <mergeCell ref="F215:F218"/>
    <mergeCell ref="G215:G218"/>
    <mergeCell ref="H215:H218"/>
    <mergeCell ref="A220:A223"/>
    <mergeCell ref="B220:B223"/>
    <mergeCell ref="C220:C223"/>
    <mergeCell ref="B190:B192"/>
    <mergeCell ref="C190:C192"/>
    <mergeCell ref="D190:D192"/>
    <mergeCell ref="E190:E192"/>
    <mergeCell ref="F190:F192"/>
    <mergeCell ref="G190:G192"/>
    <mergeCell ref="H190:H192"/>
    <mergeCell ref="A194:A196"/>
    <mergeCell ref="B194:B196"/>
    <mergeCell ref="C194:C196"/>
    <mergeCell ref="D194:D196"/>
    <mergeCell ref="E194:E196"/>
    <mergeCell ref="F194:F196"/>
    <mergeCell ref="G194:G196"/>
    <mergeCell ref="H194:H196"/>
    <mergeCell ref="H198:H200"/>
    <mergeCell ref="A202:A204"/>
    <mergeCell ref="B202:B204"/>
    <mergeCell ref="C202:C204"/>
    <mergeCell ref="D202:D204"/>
    <mergeCell ref="E202:E204"/>
    <mergeCell ref="F202:F204"/>
    <mergeCell ref="G202:G204"/>
    <mergeCell ref="H202:H204"/>
    <mergeCell ref="H431:H434"/>
    <mergeCell ref="A174:A177"/>
    <mergeCell ref="B174:B177"/>
    <mergeCell ref="C174:C177"/>
    <mergeCell ref="D174:D177"/>
    <mergeCell ref="E174:E177"/>
    <mergeCell ref="F174:F177"/>
    <mergeCell ref="G174:G177"/>
    <mergeCell ref="H174:H177"/>
    <mergeCell ref="B178:B181"/>
    <mergeCell ref="C178:C181"/>
    <mergeCell ref="D178:D181"/>
    <mergeCell ref="E178:E181"/>
    <mergeCell ref="F178:F181"/>
    <mergeCell ref="G178:G181"/>
    <mergeCell ref="H178:H181"/>
    <mergeCell ref="B182:B184"/>
    <mergeCell ref="C182:C184"/>
    <mergeCell ref="D182:D184"/>
    <mergeCell ref="E182:E184"/>
    <mergeCell ref="F182:F184"/>
    <mergeCell ref="G182:G184"/>
    <mergeCell ref="H182:H184"/>
    <mergeCell ref="A186:A188"/>
    <mergeCell ref="A178:A181"/>
    <mergeCell ref="A182:A184"/>
    <mergeCell ref="A431:A434"/>
    <mergeCell ref="B431:B434"/>
    <mergeCell ref="C431:C434"/>
    <mergeCell ref="D431:D434"/>
    <mergeCell ref="E431:E434"/>
    <mergeCell ref="F431:F434"/>
    <mergeCell ref="G431:G434"/>
    <mergeCell ref="B186:B188"/>
    <mergeCell ref="C186:C188"/>
    <mergeCell ref="D186:D188"/>
    <mergeCell ref="E186:E188"/>
    <mergeCell ref="F186:F188"/>
    <mergeCell ref="G186:G188"/>
    <mergeCell ref="A198:A200"/>
    <mergeCell ref="B198:B200"/>
    <mergeCell ref="C198:C200"/>
    <mergeCell ref="D198:D200"/>
    <mergeCell ref="E198:E200"/>
    <mergeCell ref="F198:F200"/>
    <mergeCell ref="G198:G200"/>
    <mergeCell ref="A210:A213"/>
    <mergeCell ref="B210:B213"/>
    <mergeCell ref="A235:A238"/>
    <mergeCell ref="B235:B238"/>
    <mergeCell ref="C235:C238"/>
    <mergeCell ref="E220:E223"/>
    <mergeCell ref="F220:F223"/>
    <mergeCell ref="G220:G223"/>
    <mergeCell ref="A225:A228"/>
    <mergeCell ref="B225:B228"/>
    <mergeCell ref="C225:C228"/>
    <mergeCell ref="D225:D228"/>
    <mergeCell ref="E225:E228"/>
    <mergeCell ref="F225:F228"/>
    <mergeCell ref="G225:G228"/>
    <mergeCell ref="D235:D238"/>
    <mergeCell ref="E235:E238"/>
    <mergeCell ref="A190:A192"/>
    <mergeCell ref="Y87:Y89"/>
    <mergeCell ref="A97:A99"/>
    <mergeCell ref="B97:B99"/>
    <mergeCell ref="C97:C99"/>
    <mergeCell ref="D97:D99"/>
    <mergeCell ref="E97:E99"/>
    <mergeCell ref="F97:F99"/>
    <mergeCell ref="A106:A108"/>
    <mergeCell ref="B106:B108"/>
    <mergeCell ref="C106:C108"/>
    <mergeCell ref="D106:D108"/>
    <mergeCell ref="E106:E108"/>
    <mergeCell ref="F106:F108"/>
    <mergeCell ref="G106:G108"/>
    <mergeCell ref="H106:H108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A117:A119"/>
    <mergeCell ref="B117:B119"/>
    <mergeCell ref="C117:C119"/>
    <mergeCell ref="D117:D119"/>
    <mergeCell ref="E117:E119"/>
    <mergeCell ref="F117:F119"/>
    <mergeCell ref="G117:G119"/>
    <mergeCell ref="H117:H119"/>
    <mergeCell ref="A87:A89"/>
    <mergeCell ref="G51:G53"/>
    <mergeCell ref="A60:A62"/>
    <mergeCell ref="B60:B62"/>
    <mergeCell ref="C60:C62"/>
    <mergeCell ref="D60:D62"/>
    <mergeCell ref="E60:E62"/>
    <mergeCell ref="F60:F62"/>
    <mergeCell ref="G60:G62"/>
    <mergeCell ref="Q5:Q6"/>
    <mergeCell ref="R5:T5"/>
    <mergeCell ref="U5:X5"/>
    <mergeCell ref="A8:X8"/>
    <mergeCell ref="M5:N5"/>
    <mergeCell ref="A13:A15"/>
    <mergeCell ref="B13:B15"/>
    <mergeCell ref="C13:C15"/>
    <mergeCell ref="D13:D15"/>
    <mergeCell ref="E13:E15"/>
    <mergeCell ref="F13:F15"/>
    <mergeCell ref="G13:G15"/>
    <mergeCell ref="A16:A18"/>
    <mergeCell ref="B16:B18"/>
    <mergeCell ref="C16:C18"/>
    <mergeCell ref="D16:D18"/>
    <mergeCell ref="E16:E18"/>
    <mergeCell ref="F16:F18"/>
    <mergeCell ref="G16:G18"/>
    <mergeCell ref="H13:H15"/>
    <mergeCell ref="H16:H18"/>
    <mergeCell ref="O5:P5"/>
    <mergeCell ref="D31:D33"/>
    <mergeCell ref="E31:E33"/>
    <mergeCell ref="B1:H1"/>
    <mergeCell ref="A2:F2"/>
    <mergeCell ref="A3:H3"/>
    <mergeCell ref="J3:K4"/>
    <mergeCell ref="B4:H4"/>
    <mergeCell ref="A5:A6"/>
    <mergeCell ref="B5:B6"/>
    <mergeCell ref="C5:H5"/>
    <mergeCell ref="I5:I6"/>
    <mergeCell ref="J5:K5"/>
    <mergeCell ref="A10:A12"/>
    <mergeCell ref="C10:C12"/>
    <mergeCell ref="D10:D12"/>
    <mergeCell ref="E10:E12"/>
    <mergeCell ref="F10:F12"/>
    <mergeCell ref="G10:G12"/>
    <mergeCell ref="H10:H12"/>
    <mergeCell ref="B10:B12"/>
    <mergeCell ref="A9:B9"/>
    <mergeCell ref="F31:F33"/>
    <mergeCell ref="G31:G33"/>
    <mergeCell ref="A34:A36"/>
    <mergeCell ref="B34:B36"/>
    <mergeCell ref="C34:C36"/>
    <mergeCell ref="D34:D36"/>
    <mergeCell ref="E34:E36"/>
    <mergeCell ref="F34:F36"/>
    <mergeCell ref="G34:G36"/>
    <mergeCell ref="A19:A21"/>
    <mergeCell ref="B19:B21"/>
    <mergeCell ref="C19:C21"/>
    <mergeCell ref="D19:D21"/>
    <mergeCell ref="E19:E21"/>
    <mergeCell ref="F19:F21"/>
    <mergeCell ref="G19:G21"/>
    <mergeCell ref="A22:A24"/>
    <mergeCell ref="B22:B24"/>
    <mergeCell ref="C22:C24"/>
    <mergeCell ref="D22:D24"/>
    <mergeCell ref="E22:E24"/>
    <mergeCell ref="F22:F24"/>
    <mergeCell ref="G22:G24"/>
    <mergeCell ref="A25:A27"/>
    <mergeCell ref="B25:B27"/>
    <mergeCell ref="C25:C27"/>
    <mergeCell ref="D25:D27"/>
    <mergeCell ref="E25:E27"/>
    <mergeCell ref="F25:F27"/>
    <mergeCell ref="G25:G27"/>
    <mergeCell ref="H19:H21"/>
    <mergeCell ref="H22:H24"/>
    <mergeCell ref="H25:H27"/>
    <mergeCell ref="H28:H30"/>
    <mergeCell ref="H31:H33"/>
    <mergeCell ref="H34:H36"/>
    <mergeCell ref="A38:A40"/>
    <mergeCell ref="B38:B40"/>
    <mergeCell ref="C38:C40"/>
    <mergeCell ref="D38:D40"/>
    <mergeCell ref="E38:E40"/>
    <mergeCell ref="F38:F40"/>
    <mergeCell ref="G38:G40"/>
    <mergeCell ref="H38:H40"/>
    <mergeCell ref="A41:A43"/>
    <mergeCell ref="B41:B43"/>
    <mergeCell ref="C41:C43"/>
    <mergeCell ref="D41:D43"/>
    <mergeCell ref="E41:E43"/>
    <mergeCell ref="F41:F43"/>
    <mergeCell ref="G41:G43"/>
    <mergeCell ref="H41:H43"/>
    <mergeCell ref="A28:A30"/>
    <mergeCell ref="B28:B30"/>
    <mergeCell ref="C28:C30"/>
    <mergeCell ref="D28:D30"/>
    <mergeCell ref="E28:E30"/>
    <mergeCell ref="F28:F30"/>
    <mergeCell ref="G28:G30"/>
    <mergeCell ref="A31:A33"/>
    <mergeCell ref="B31:B33"/>
    <mergeCell ref="C31:C33"/>
    <mergeCell ref="A44:A46"/>
    <mergeCell ref="B44:B46"/>
    <mergeCell ref="C44:C46"/>
    <mergeCell ref="D44:D46"/>
    <mergeCell ref="E44:E46"/>
    <mergeCell ref="F44:F46"/>
    <mergeCell ref="G44:G46"/>
    <mergeCell ref="H44:H46"/>
    <mergeCell ref="A47:A49"/>
    <mergeCell ref="B47:B49"/>
    <mergeCell ref="C47:C49"/>
    <mergeCell ref="D47:D49"/>
    <mergeCell ref="E47:E49"/>
    <mergeCell ref="F47:F49"/>
    <mergeCell ref="G47:G49"/>
    <mergeCell ref="H47:H49"/>
    <mergeCell ref="A57:A59"/>
    <mergeCell ref="B57:B59"/>
    <mergeCell ref="C57:C59"/>
    <mergeCell ref="D57:D59"/>
    <mergeCell ref="E57:E59"/>
    <mergeCell ref="F57:F59"/>
    <mergeCell ref="G57:G59"/>
    <mergeCell ref="H57:H59"/>
    <mergeCell ref="H51:H53"/>
    <mergeCell ref="A55:X55"/>
    <mergeCell ref="A51:A53"/>
    <mergeCell ref="B51:B53"/>
    <mergeCell ref="C51:C53"/>
    <mergeCell ref="D51:D53"/>
    <mergeCell ref="E51:E53"/>
    <mergeCell ref="F51:F53"/>
    <mergeCell ref="H60:H62"/>
    <mergeCell ref="A63:A65"/>
    <mergeCell ref="B63:B65"/>
    <mergeCell ref="C63:C65"/>
    <mergeCell ref="D63:D65"/>
    <mergeCell ref="E63:E65"/>
    <mergeCell ref="F63:F65"/>
    <mergeCell ref="G63:G65"/>
    <mergeCell ref="H63:H65"/>
    <mergeCell ref="A66:A68"/>
    <mergeCell ref="B66:B68"/>
    <mergeCell ref="C66:C68"/>
    <mergeCell ref="D66:D68"/>
    <mergeCell ref="E66:E68"/>
    <mergeCell ref="F66:F68"/>
    <mergeCell ref="G66:G68"/>
    <mergeCell ref="H66:H68"/>
    <mergeCell ref="A69:A71"/>
    <mergeCell ref="B69:B71"/>
    <mergeCell ref="C69:C71"/>
    <mergeCell ref="D69:D71"/>
    <mergeCell ref="E69:E71"/>
    <mergeCell ref="F69:F71"/>
    <mergeCell ref="G69:G71"/>
    <mergeCell ref="H69:H71"/>
    <mergeCell ref="A72:A74"/>
    <mergeCell ref="B72:B74"/>
    <mergeCell ref="C72:C74"/>
    <mergeCell ref="D72:D74"/>
    <mergeCell ref="E72:E74"/>
    <mergeCell ref="F72:F74"/>
    <mergeCell ref="G72:G74"/>
    <mergeCell ref="H72:H74"/>
    <mergeCell ref="A75:A77"/>
    <mergeCell ref="B75:B77"/>
    <mergeCell ref="C75:C77"/>
    <mergeCell ref="D75:D77"/>
    <mergeCell ref="E75:E77"/>
    <mergeCell ref="F75:F77"/>
    <mergeCell ref="G75:G77"/>
    <mergeCell ref="H75:H77"/>
    <mergeCell ref="A78:A80"/>
    <mergeCell ref="B78:B80"/>
    <mergeCell ref="C78:C80"/>
    <mergeCell ref="D78:D80"/>
    <mergeCell ref="E78:E80"/>
    <mergeCell ref="F78:F80"/>
    <mergeCell ref="G78:G80"/>
    <mergeCell ref="H78:H80"/>
    <mergeCell ref="A81:A83"/>
    <mergeCell ref="B81:B83"/>
    <mergeCell ref="C81:C83"/>
    <mergeCell ref="D81:D83"/>
    <mergeCell ref="E81:E83"/>
    <mergeCell ref="F81:F83"/>
    <mergeCell ref="G81:G83"/>
    <mergeCell ref="H81:H83"/>
    <mergeCell ref="A84:A86"/>
    <mergeCell ref="B84:B86"/>
    <mergeCell ref="C84:C86"/>
    <mergeCell ref="D84:D86"/>
    <mergeCell ref="E84:E86"/>
    <mergeCell ref="F84:F86"/>
    <mergeCell ref="G84:G86"/>
    <mergeCell ref="H84:H86"/>
    <mergeCell ref="B87:B89"/>
    <mergeCell ref="C87:C89"/>
    <mergeCell ref="D87:D89"/>
    <mergeCell ref="E87:E89"/>
    <mergeCell ref="F87:F89"/>
    <mergeCell ref="G87:G89"/>
    <mergeCell ref="H87:H89"/>
    <mergeCell ref="A90:A92"/>
    <mergeCell ref="B90:B92"/>
    <mergeCell ref="C90:C92"/>
    <mergeCell ref="D90:D92"/>
    <mergeCell ref="E90:E92"/>
    <mergeCell ref="F90:F92"/>
    <mergeCell ref="G90:G92"/>
    <mergeCell ref="H90:H92"/>
    <mergeCell ref="A94:A96"/>
    <mergeCell ref="B94:B96"/>
    <mergeCell ref="C94:C96"/>
    <mergeCell ref="D94:D96"/>
    <mergeCell ref="E94:E96"/>
    <mergeCell ref="F94:F96"/>
    <mergeCell ref="G94:G96"/>
    <mergeCell ref="H94:H96"/>
    <mergeCell ref="G97:G99"/>
    <mergeCell ref="H97:H99"/>
    <mergeCell ref="A100:A102"/>
    <mergeCell ref="B100:B102"/>
    <mergeCell ref="C100:C102"/>
    <mergeCell ref="D100:D102"/>
    <mergeCell ref="E100:E102"/>
    <mergeCell ref="F100:F102"/>
    <mergeCell ref="G100:G102"/>
    <mergeCell ref="H100:H102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A113:A116"/>
    <mergeCell ref="B113:B116"/>
    <mergeCell ref="C113:C116"/>
    <mergeCell ref="D113:D116"/>
    <mergeCell ref="E113:E116"/>
    <mergeCell ref="F113:F116"/>
    <mergeCell ref="G113:G116"/>
    <mergeCell ref="H113:H116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A120:X120"/>
    <mergeCell ref="A128:A130"/>
    <mergeCell ref="B128:B130"/>
    <mergeCell ref="C128:C130"/>
    <mergeCell ref="D128:D130"/>
    <mergeCell ref="E128:E130"/>
    <mergeCell ref="F128:F130"/>
    <mergeCell ref="G128:G130"/>
    <mergeCell ref="H128:H130"/>
    <mergeCell ref="A131:A133"/>
    <mergeCell ref="B131:B133"/>
    <mergeCell ref="C131:C133"/>
    <mergeCell ref="D131:D133"/>
    <mergeCell ref="E131:E133"/>
    <mergeCell ref="F131:F133"/>
    <mergeCell ref="G131:G133"/>
    <mergeCell ref="H131:H133"/>
    <mergeCell ref="D239:D242"/>
    <mergeCell ref="G171:G173"/>
    <mergeCell ref="H171:H173"/>
    <mergeCell ref="A171:A173"/>
    <mergeCell ref="B171:B173"/>
    <mergeCell ref="C171:C173"/>
    <mergeCell ref="D171:D173"/>
    <mergeCell ref="E171:E173"/>
    <mergeCell ref="F171:F173"/>
    <mergeCell ref="G137:G138"/>
    <mergeCell ref="H137:H138"/>
    <mergeCell ref="E134:E136"/>
    <mergeCell ref="F134:F136"/>
    <mergeCell ref="G134:G136"/>
    <mergeCell ref="H134:H136"/>
    <mergeCell ref="H186:H188"/>
  </mergeCells>
  <pageMargins left="0.54" right="0.34" top="0.48" bottom="0.42" header="0.3" footer="0.3"/>
  <pageSetup scale="41" orientation="landscape" horizontalDpi="1200" verticalDpi="1200" r:id="rId1"/>
  <colBreaks count="1" manualBreakCount="1">
    <brk id="24" max="1048575" man="1"/>
  </colBreaks>
  <ignoredErrors>
    <ignoredError sqref="R14:V15 W11:W35 W38:W48 S38:V38 R39:R40 U39:V48 R26:R27 U26:V35 K51:Q51 J127:W127 J169:Q169 R228:W229 R264:W264 R18:S18 R17:S17 R21 R20 R24:V24 R23 J201:O203 Q211:W214 O440:W440 O398:Q400 Q397 O402:Q404 Q401 O406:Q408 Q405 O410:Q412 Q409 O414:Q416 Q413 O418:Q420 Q417 O424:W424 Q421 O426:W426 Q425:W425 O430:W430 Q429:W429 O434:W434 Q433:W433 O442:W442 Q441:W441 O446:W446 Q445:W445 O450:W450 Q449:W449 O454:W454 Q453:W453 O458:W458 Q457:W457 O462:W462 Q461:W461 O466:W466 Q465:W465 O470:W470 Q469:W469 O474:W474 Q473:W473 O478:W478 Q477:W477 O482:W482 Q481:W481 O486:W486 Q485:W485 O490:W490 Q489:W489 O494:W494 Q493:W493 O498:W498 Q497:W497 O502:W502 Q501:W501 O506:W506 Q505:W505 O510:W510 Q509:W509 O514:W514 Q513:W513 P16 J16:K22 M23:O23 T21:V22 T23:U23 U20 U17 T18:V19 T17 V17 T20 V20 V23 S52:W52 P39:P47 P18:P22 J24:K34 P24:P34 P36 J205:O207 J209:O212 J214:O217 J219:O222 J224:O227 N436:W436 R301:R302 R336:R338 S398:W400 S402:W404 S406:W408 S410:W412 S414:W416 S418:W420 O422:Q423 S422:W423 S421:W421 S417:W417 S413:W413 S409:W409 S405:W405 S401:W401 S397:W397 R421 R422 R417 R418 R413 R414 R409 R410 R405 R406 R401 R402 R397 R398 R364:R366 P283:P331 V303:W314 V335:W360 V367:W396 R242:W242 R241 T241:W241 R246:W246 R245 T245:W245 R258:W258 R257 U257:W257 R256:W256 S255:U255 W255 R261 U261:W261 R266:W266 R265 U265:W265 R270:W270 R269 U269:W269 R274:W274 R273 U273:W273 R280:W280 R277 U277:W277 R278 T278:W278 R276:W276 S275:V275 W275 P243:P280 R282:W282 R281 U281:W281 R286:W286 R285 U285:W285 R290:W290 R289 U289:W289 R294:W294 R293 U293:W293 R298:W298 R297 U297:W297 V315:W332 R396 R392:R394 O391:Q395 S391:T395 Q201:W201 P174 P201:P210 P180:P182 T179 V179 P185:P186 T184 P183 V183 P189 P187 V187 P171 P172:P173 T183 T187 P177:P178 P176 P175 S175:T175 V175 T176 S174 T188 P193:P194 T191 P192 P190 P199:P200 T196 V196 P195 V195 T192 P197:P198 T195 V190 S517:W523 V516:W516 O435:Q435 R168:S168 P215:P239 R244:S244 U244:W244 R250:W250 R249 U249:W249 R254:W254 R253 U253:W253 R272:W272 S271:U271 W271 W363:W364 N517:O523 O432:W432 F25:F49 F114 F118 S13:V13 S16:V16 S19 S25:V25 R29:R30 R32:R33 R35 R42:R43 R45:R46 R48 S51:V51 Q203:W205 Q202 S202:W202 Q207:W209 Q206 S206:W206 Q210 S210:W210 Q216:W219 Q215 S215:W215 Q221:W224 Q220 S220:W220 Q226:W227 Q225 S225:W225 R231:W234 S230:W230 R236:W240 S235:W235 S243:W243 R248:W248 S247:W247 R252:W252 S251:W251 R260:W260 S259:W259 S263:W263 R268:W268 S267:W267 S279:W279 R284:W284 S283:W283 R288:W288 S287:W287 R292:W292 S291:W291 R296:W296 S295:W295 R300:W300 S299:W299 R304:R306 R308:R310 R312:R314 R316:R318 R320:R322 R324:R326 R328:R330 R332:R333 R340:R342 R344:R346 R348:R350 R352:R354 R356:R358 R360:R361 R368:R370 R372:R374 R376:R378 R380:R382 R384:R386 R388:R390 R400 R404 R408 R412 R416 R420 O428:W428 O427:Q427 S427:W427 O431:Q431 S431:W431 S435:W435 O439:Q439 S439:W439 O444:W444 O443:Q443 S443:W443 O448:W448 O447:Q447 S447:W447 O452:W452 O451:Q451 S451:W451 O456:W456 O455:Q455 S455:W455 O460:W460 O459:Q459 S459:W459 O464:W464 O463:Q463 S463:W463 O468:W468 O467:Q467 S467:W467 O472:W472 O471:Q471 S471:W471 O476:W476 O475:Q475 S475:W475 O480:W480 O479:Q479 S479:W479 O484:W484 O483:Q483 S483:W483 O488:W488 O487:Q487 S487:W487 O492:W492 O491:Q491 S491:W491 O496:W496 O495:Q495 S495:W495 O500:W500 O499:Q499 S499:W499 O504:W504 O503:Q503 S503:W503 O508:W508 O507:Q507 S507:W507 O512:W512 O511:Q511 S511:W511" unlockedFormula="1"/>
    <ignoredError sqref="S39:T48 S26:T35 S20:S23 N52:P52" twoDigitTextYear="1" unlockedFormula="1"/>
    <ignoredError sqref="D92:W92 D57:Q65 D81:Q89 D70:N74 P70:Q80 D94:Q94 D100:Q100 D95:N96 Q95:Q99 D128:I134 D173:O175 D188:I190 D68:Q69 L66:O66 D66:I67 Q67 Q66 D90:I91 L90:Q90 Q91 D101:I112 D119:E119 D115:E117 C120:I121 D181:O182 D179:O179 D185:O186 D184:I184 D183:O183 D187:O187 D199:I200 D171:O171 D191:I194 D195:I198 D172:I172 D177:O178 D176:I176 D180:I180 L180:O180 D137:I148 I135 D136 I136 D113:E113 G113:I113 G115:I117 G119:I119 D149:I168 D122:I126 D97:N99 D75:N80" numberStoredAsText="1"/>
    <ignoredError sqref="R58:W59 R67:R68 U67:W91 O70:O80 O95:P99 R99:W99 S100:U100 S94:W94 R95:R96 U95:W98 J130:W130 J126:W126 Q168 J189:O189 J193:O194 J191:O191 J190:O190 J197:O198 J195:O195 J199:O199 W100 J128:P128 S128:W128 Q129:W129 J139:W139 Q138:W138 J145:W145 Q144:W144 J148:W148 Q147:W147 J151:W151 Q150:W150 J154:W154 Q153:W153 J157:W157 Q156:W156 J160:W160 Q159:W159 J163:W163 Q162:W162 J166:W166 Q165:W165 P184:S184 T174:W174 Q174 W175 U176:W176 Q176:S176 U175 Q175:R175 Q177:W177 Q187:S187 Q183:S183 Q185:W185 Q180:W181 Q172:W173 Q171 W187 U187 W183 U183 U184:W184 U179 W179 P179:S179 Q190 Q199:W200 Q195:S195 Q197:W197 Q192:S192 Q193:W193 Q189:W189 W196 W195 U195 U196 P196:S196 W190 U192:W192 U191:W191 P191:S191 U188:W188 P188:S188 T168:W168 F115:F117 F119 F113 S57:W57 R61:W62 S60:W60 R64:W65 S63:W63 S66:W66 R70:R71 R73:R74 R76:R77 R79:R80 R82:R83 R85:R86 R88:R89 R91 R98 J125:Q125 S125:W125 J132:W133 J131:Q131 S131:W131 J135:W136 J134:Q134 S134:W134 J137:Q137 S137:W137 J141:W142 J140:Q140 S140:W140 J143:Q143 S143:W143 J146:Q146 S146:W146 J149:Q149 S149:W149 J152:Q152 S152:W152 J155:Q155 S155:W155 J158:Q158 S158:W158 J161:Q161 S161:W161 J164:Q164 S164:W164 J167:Q167 S167:W167 S171:W171 Q178 S178:W178 Q182 S182:W182 Q186 S186:W186 S190:U190 Q194 S194:W194 Q198 S198:W198" numberStoredAsText="1" unlockedFormula="1"/>
    <ignoredError sqref="S67:T91 K115:W115 K120:W121 K119:M119 O119:W119 R101:W102 S95:T98 J124:W124 K113:Q113 O116:W116 K116:M117 Q123:W123 R104:W105 S103:W103 R107:W108 S106:W106 R110:W110 S109:W109 S113:W113 O117:Q117 S117:W117 K122:Q122 S122:W122" twoDigitTextYear="1" numberStoredAsText="1" unlockedFormula="1"/>
    <ignoredError sqref="J111:W112 J101:Q110 J113 J115:J117 J120:J122" twoDigitTextYear="1" numberStoredAsText="1"/>
    <ignoredError sqref="N119 N116:N117" twoDigitTextYear="1" numberStoredAsText="1" formula="1" unlockedFormula="1"/>
    <ignoredError sqref="K52:M52 J48:K48 T357 K517 K521" twoDigitTextYea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4" zoomScale="70" zoomScaleNormal="70" workbookViewId="0">
      <pane xSplit="1" ySplit="9" topLeftCell="B13" activePane="bottomRight" state="frozen"/>
      <selection activeCell="A4" sqref="A4"/>
      <selection pane="topRight" activeCell="C4" sqref="C4"/>
      <selection pane="bottomLeft" activeCell="A11" sqref="A11"/>
      <selection pane="bottomRight" activeCell="H54" sqref="H54"/>
    </sheetView>
  </sheetViews>
  <sheetFormatPr defaultColWidth="8.6640625" defaultRowHeight="13.8" x14ac:dyDescent="0.25"/>
  <cols>
    <col min="1" max="1" width="34.88671875" style="422" customWidth="1"/>
    <col min="2" max="2" width="8.109375" style="422" customWidth="1"/>
    <col min="3" max="3" width="11.44140625" style="422" customWidth="1"/>
    <col min="4" max="4" width="13.6640625" style="422" customWidth="1"/>
    <col min="5" max="5" width="7.44140625" style="422" customWidth="1"/>
    <col min="6" max="6" width="9.44140625" style="423" customWidth="1"/>
    <col min="7" max="7" width="10.6640625" style="422" customWidth="1"/>
    <col min="8" max="8" width="12" style="422" customWidth="1"/>
    <col min="9" max="9" width="11.6640625" style="422" customWidth="1"/>
    <col min="10" max="10" width="11.5546875" style="422" customWidth="1"/>
    <col min="11" max="11" width="10.88671875" style="422" customWidth="1"/>
    <col min="12" max="12" width="11.5546875" style="422" customWidth="1"/>
    <col min="13" max="13" width="8.44140625" style="422" customWidth="1"/>
    <col min="14" max="14" width="12" style="422" customWidth="1"/>
    <col min="15" max="15" width="13.33203125" style="422" customWidth="1"/>
    <col min="16" max="16" width="12.33203125" style="422" customWidth="1"/>
    <col min="17" max="17" width="11.5546875" style="422" customWidth="1"/>
    <col min="18" max="18" width="12.6640625" style="422" customWidth="1"/>
    <col min="19" max="19" width="11.33203125" style="422" customWidth="1"/>
    <col min="20" max="20" width="11.44140625" style="422" customWidth="1"/>
    <col min="21" max="21" width="10.5546875" style="422" customWidth="1"/>
    <col min="22" max="22" width="11.109375" style="422" customWidth="1"/>
    <col min="23" max="23" width="10.88671875" style="422" customWidth="1"/>
    <col min="24" max="24" width="12.6640625" style="422" customWidth="1"/>
    <col min="25" max="25" width="11.33203125" style="422" customWidth="1"/>
    <col min="26" max="26" width="12" style="422" customWidth="1"/>
    <col min="27" max="27" width="8.6640625" style="422"/>
    <col min="28" max="28" width="11.5546875" style="422" customWidth="1"/>
    <col min="29" max="29" width="8.6640625" style="422"/>
    <col min="30" max="30" width="11.109375" style="422" customWidth="1"/>
    <col min="31" max="31" width="31.109375" style="422" customWidth="1"/>
    <col min="32" max="16384" width="8.6640625" style="422"/>
  </cols>
  <sheetData>
    <row r="1" spans="1:31" x14ac:dyDescent="0.25">
      <c r="A1" s="742" t="s">
        <v>449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</row>
    <row r="2" spans="1:31" x14ac:dyDescent="0.25">
      <c r="A2" s="740" t="s">
        <v>763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</row>
    <row r="3" spans="1:31" x14ac:dyDescent="0.25">
      <c r="A3" s="740" t="s">
        <v>764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</row>
    <row r="4" spans="1:31" x14ac:dyDescent="0.25">
      <c r="A4" s="167" t="s">
        <v>6</v>
      </c>
      <c r="B4" s="167"/>
      <c r="C4" s="167"/>
      <c r="D4" s="167"/>
      <c r="E4" s="167"/>
      <c r="F4" s="167"/>
      <c r="G4" s="167"/>
      <c r="H4" s="167"/>
    </row>
    <row r="5" spans="1:31" x14ac:dyDescent="0.25">
      <c r="I5" s="424" t="s">
        <v>447</v>
      </c>
    </row>
    <row r="7" spans="1:31" x14ac:dyDescent="0.25">
      <c r="A7" s="425" t="s">
        <v>446</v>
      </c>
      <c r="B7" s="426"/>
      <c r="C7" s="427" t="s">
        <v>445</v>
      </c>
      <c r="D7" s="61"/>
      <c r="E7" s="61"/>
      <c r="F7" s="61"/>
      <c r="G7" s="61"/>
      <c r="H7" s="75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75"/>
      <c r="AA7" s="61"/>
      <c r="AB7" s="61"/>
      <c r="AC7" s="61"/>
      <c r="AD7" s="61"/>
      <c r="AE7" s="61"/>
    </row>
    <row r="8" spans="1:31" s="430" customFormat="1" ht="15.75" customHeight="1" x14ac:dyDescent="0.25">
      <c r="A8" s="425" t="s">
        <v>3</v>
      </c>
      <c r="B8" s="428"/>
      <c r="C8" s="425" t="s">
        <v>444</v>
      </c>
      <c r="D8" s="425"/>
      <c r="E8" s="425"/>
      <c r="F8" s="425"/>
      <c r="G8" s="425"/>
      <c r="H8" s="429"/>
      <c r="J8" s="76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</row>
    <row r="9" spans="1:31" s="430" customFormat="1" ht="14.4" x14ac:dyDescent="0.25">
      <c r="A9" s="431" t="s">
        <v>6</v>
      </c>
      <c r="B9" s="428"/>
      <c r="C9" s="425"/>
      <c r="D9" s="425"/>
      <c r="E9" s="425"/>
      <c r="F9" s="425"/>
      <c r="G9" s="425"/>
      <c r="H9" s="429"/>
      <c r="I9" s="76"/>
      <c r="J9" s="76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</row>
    <row r="10" spans="1:31" s="430" customFormat="1" ht="15" thickBot="1" x14ac:dyDescent="0.3">
      <c r="A10" s="425"/>
      <c r="B10" s="428"/>
      <c r="C10" s="425"/>
      <c r="D10" s="425"/>
      <c r="E10" s="425"/>
      <c r="F10" s="425"/>
      <c r="G10" s="425"/>
      <c r="H10" s="429"/>
      <c r="I10" s="432"/>
      <c r="J10" s="432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</row>
    <row r="11" spans="1:31" ht="31.5" customHeight="1" thickTop="1" x14ac:dyDescent="0.25">
      <c r="A11" s="743" t="s">
        <v>8</v>
      </c>
      <c r="B11" s="737" t="s">
        <v>436</v>
      </c>
      <c r="C11" s="325" t="s">
        <v>442</v>
      </c>
      <c r="D11" s="636" t="s">
        <v>806</v>
      </c>
      <c r="E11" s="737" t="s">
        <v>434</v>
      </c>
      <c r="F11" s="737" t="s">
        <v>13</v>
      </c>
      <c r="G11" s="636" t="s">
        <v>441</v>
      </c>
      <c r="H11" s="636"/>
      <c r="I11" s="736" t="s">
        <v>443</v>
      </c>
      <c r="J11" s="736"/>
      <c r="K11" s="636" t="s">
        <v>440</v>
      </c>
      <c r="L11" s="636"/>
      <c r="M11" s="737" t="s">
        <v>13</v>
      </c>
      <c r="N11" s="636" t="s">
        <v>439</v>
      </c>
      <c r="O11" s="636"/>
      <c r="P11" s="636" t="s">
        <v>438</v>
      </c>
      <c r="Q11" s="636"/>
      <c r="R11" s="636"/>
      <c r="S11" s="636"/>
      <c r="T11" s="636"/>
      <c r="U11" s="81"/>
      <c r="V11" s="636" t="s">
        <v>437</v>
      </c>
      <c r="W11" s="636"/>
      <c r="X11" s="636" t="s">
        <v>18</v>
      </c>
      <c r="Y11" s="636"/>
      <c r="Z11" s="636"/>
      <c r="AA11" s="81"/>
      <c r="AB11" s="734" t="s">
        <v>20</v>
      </c>
      <c r="AC11" s="734"/>
      <c r="AD11" s="734"/>
      <c r="AE11" s="735"/>
    </row>
    <row r="12" spans="1:31" ht="63" customHeight="1" x14ac:dyDescent="0.25">
      <c r="A12" s="744"/>
      <c r="B12" s="738"/>
      <c r="C12" s="330" t="s">
        <v>435</v>
      </c>
      <c r="D12" s="745"/>
      <c r="E12" s="738"/>
      <c r="F12" s="738"/>
      <c r="G12" s="330" t="s">
        <v>433</v>
      </c>
      <c r="H12" s="330" t="s">
        <v>25</v>
      </c>
      <c r="I12" s="330" t="s">
        <v>432</v>
      </c>
      <c r="J12" s="330" t="s">
        <v>431</v>
      </c>
      <c r="K12" s="330" t="s">
        <v>430</v>
      </c>
      <c r="L12" s="330" t="s">
        <v>25</v>
      </c>
      <c r="M12" s="738"/>
      <c r="N12" s="330" t="s">
        <v>429</v>
      </c>
      <c r="O12" s="330" t="s">
        <v>428</v>
      </c>
      <c r="P12" s="330" t="s">
        <v>427</v>
      </c>
      <c r="Q12" s="330" t="s">
        <v>426</v>
      </c>
      <c r="R12" s="330" t="s">
        <v>425</v>
      </c>
      <c r="S12" s="330" t="s">
        <v>424</v>
      </c>
      <c r="T12" s="330" t="s">
        <v>423</v>
      </c>
      <c r="U12" s="330" t="s">
        <v>13</v>
      </c>
      <c r="V12" s="330" t="s">
        <v>422</v>
      </c>
      <c r="W12" s="330" t="s">
        <v>421</v>
      </c>
      <c r="X12" s="330" t="s">
        <v>420</v>
      </c>
      <c r="Y12" s="330" t="s">
        <v>419</v>
      </c>
      <c r="Z12" s="330" t="s">
        <v>418</v>
      </c>
      <c r="AA12" s="330" t="s">
        <v>13</v>
      </c>
      <c r="AB12" s="330" t="s">
        <v>78</v>
      </c>
      <c r="AC12" s="330" t="s">
        <v>417</v>
      </c>
      <c r="AD12" s="330" t="s">
        <v>416</v>
      </c>
      <c r="AE12" s="433" t="s">
        <v>81</v>
      </c>
    </row>
    <row r="13" spans="1:31" x14ac:dyDescent="0.25">
      <c r="A13" s="434" t="s">
        <v>415</v>
      </c>
      <c r="B13" s="435"/>
      <c r="C13" s="435"/>
      <c r="D13" s="375"/>
      <c r="E13" s="435"/>
      <c r="F13" s="374" t="s">
        <v>43</v>
      </c>
      <c r="G13" s="373" t="s">
        <v>414</v>
      </c>
      <c r="H13" s="373" t="s">
        <v>409</v>
      </c>
      <c r="I13" s="373" t="s">
        <v>84</v>
      </c>
      <c r="J13" s="373" t="s">
        <v>410</v>
      </c>
      <c r="K13" s="373"/>
      <c r="L13" s="373" t="s">
        <v>409</v>
      </c>
      <c r="M13" s="374" t="s">
        <v>43</v>
      </c>
      <c r="N13" s="373" t="s">
        <v>413</v>
      </c>
      <c r="O13" s="373" t="s">
        <v>87</v>
      </c>
      <c r="P13" s="373" t="s">
        <v>412</v>
      </c>
      <c r="Q13" s="373" t="s">
        <v>411</v>
      </c>
      <c r="R13" s="373" t="s">
        <v>410</v>
      </c>
      <c r="S13" s="373" t="s">
        <v>409</v>
      </c>
      <c r="T13" s="373" t="s">
        <v>410</v>
      </c>
      <c r="U13" s="374" t="s">
        <v>43</v>
      </c>
      <c r="V13" s="373" t="s">
        <v>409</v>
      </c>
      <c r="W13" s="373" t="s">
        <v>409</v>
      </c>
      <c r="X13" s="454"/>
      <c r="Y13" s="373" t="s">
        <v>89</v>
      </c>
      <c r="Z13" s="373" t="s">
        <v>408</v>
      </c>
      <c r="AA13" s="374" t="s">
        <v>43</v>
      </c>
      <c r="AB13" s="373"/>
      <c r="AC13" s="373"/>
      <c r="AD13" s="373"/>
      <c r="AE13" s="436"/>
    </row>
    <row r="14" spans="1:31" ht="14.4" x14ac:dyDescent="0.25">
      <c r="A14" s="437"/>
      <c r="B14" s="438"/>
      <c r="C14" s="438"/>
      <c r="D14" s="95"/>
      <c r="E14" s="438"/>
      <c r="F14" s="88" t="s">
        <v>44</v>
      </c>
      <c r="G14" s="438"/>
      <c r="H14" s="438"/>
      <c r="I14" s="438"/>
      <c r="J14" s="438"/>
      <c r="K14" s="438"/>
      <c r="L14" s="438"/>
      <c r="M14" s="88" t="s">
        <v>44</v>
      </c>
      <c r="N14" s="438"/>
      <c r="O14" s="438"/>
      <c r="P14" s="438"/>
      <c r="Q14" s="438"/>
      <c r="R14" s="438"/>
      <c r="S14" s="438"/>
      <c r="T14" s="438"/>
      <c r="U14" s="88" t="s">
        <v>44</v>
      </c>
      <c r="V14" s="438"/>
      <c r="W14" s="438"/>
      <c r="X14" s="95"/>
      <c r="Y14" s="438"/>
      <c r="Z14" s="438"/>
      <c r="AA14" s="88" t="s">
        <v>44</v>
      </c>
      <c r="AB14" s="438"/>
      <c r="AC14" s="438"/>
      <c r="AD14" s="438"/>
      <c r="AE14" s="439"/>
    </row>
    <row r="15" spans="1:31" x14ac:dyDescent="0.25">
      <c r="A15" s="453" t="s">
        <v>35</v>
      </c>
      <c r="B15" s="90"/>
      <c r="C15" s="90"/>
      <c r="D15" s="91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1"/>
      <c r="Y15" s="90"/>
      <c r="Z15" s="90"/>
      <c r="AA15" s="90"/>
      <c r="AB15" s="90"/>
      <c r="AC15" s="90"/>
      <c r="AD15" s="90"/>
      <c r="AE15" s="94"/>
    </row>
    <row r="16" spans="1:31" x14ac:dyDescent="0.25">
      <c r="A16" s="746" t="s">
        <v>407</v>
      </c>
      <c r="B16" s="747"/>
      <c r="C16" s="440"/>
      <c r="D16" s="441"/>
      <c r="E16" s="440"/>
      <c r="F16" s="442"/>
      <c r="G16" s="440"/>
      <c r="H16" s="440"/>
      <c r="I16" s="440"/>
      <c r="J16" s="440"/>
      <c r="K16" s="440"/>
      <c r="L16" s="440"/>
      <c r="M16" s="442"/>
      <c r="N16" s="440"/>
      <c r="O16" s="440"/>
      <c r="P16" s="440"/>
      <c r="Q16" s="440"/>
      <c r="R16" s="440"/>
      <c r="S16" s="440"/>
      <c r="T16" s="440"/>
      <c r="U16" s="442"/>
      <c r="V16" s="440"/>
      <c r="W16" s="440"/>
      <c r="X16" s="441"/>
      <c r="Y16" s="440"/>
      <c r="Z16" s="440"/>
      <c r="AA16" s="442"/>
      <c r="AB16" s="440"/>
      <c r="AC16" s="440"/>
      <c r="AD16" s="440"/>
      <c r="AE16" s="443"/>
    </row>
    <row r="17" spans="1:31" ht="7.5" customHeight="1" x14ac:dyDescent="0.25">
      <c r="A17" s="444"/>
      <c r="B17" s="90"/>
      <c r="C17" s="90"/>
      <c r="D17" s="91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1"/>
      <c r="Y17" s="90"/>
      <c r="Z17" s="90"/>
      <c r="AA17" s="90"/>
      <c r="AB17" s="90"/>
      <c r="AC17" s="90"/>
      <c r="AD17" s="90"/>
      <c r="AE17" s="94"/>
    </row>
    <row r="18" spans="1:31" x14ac:dyDescent="0.25">
      <c r="A18" s="733" t="s">
        <v>406</v>
      </c>
      <c r="B18" s="729" t="s">
        <v>397</v>
      </c>
      <c r="C18" s="729" t="s">
        <v>396</v>
      </c>
      <c r="D18" s="741">
        <v>129265</v>
      </c>
      <c r="E18" s="729" t="s">
        <v>94</v>
      </c>
      <c r="F18" s="555" t="s">
        <v>43</v>
      </c>
      <c r="G18" s="556">
        <f>H18-15</f>
        <v>39668</v>
      </c>
      <c r="H18" s="556">
        <f>I18-10</f>
        <v>39683</v>
      </c>
      <c r="I18" s="556">
        <f>J18-7</f>
        <v>39693</v>
      </c>
      <c r="J18" s="556">
        <f>L18-10</f>
        <v>39700</v>
      </c>
      <c r="K18" s="556">
        <v>39705</v>
      </c>
      <c r="L18" s="556">
        <f>N18-12</f>
        <v>39710</v>
      </c>
      <c r="M18" s="555" t="s">
        <v>43</v>
      </c>
      <c r="N18" s="557">
        <v>39722</v>
      </c>
      <c r="O18" s="557">
        <v>39797</v>
      </c>
      <c r="P18" s="557">
        <v>39887</v>
      </c>
      <c r="Q18" s="556">
        <f>P18+6</f>
        <v>39893</v>
      </c>
      <c r="R18" s="556">
        <f>Q18+10</f>
        <v>39903</v>
      </c>
      <c r="S18" s="556">
        <f>R18+10</f>
        <v>39913</v>
      </c>
      <c r="T18" s="556">
        <f>S18+5</f>
        <v>39918</v>
      </c>
      <c r="U18" s="555" t="s">
        <v>43</v>
      </c>
      <c r="V18" s="556">
        <f>T18+10</f>
        <v>39928</v>
      </c>
      <c r="W18" s="556">
        <f>V18+7</f>
        <v>39935</v>
      </c>
      <c r="X18" s="558"/>
      <c r="Y18" s="557">
        <v>39948</v>
      </c>
      <c r="Z18" s="557">
        <v>40148</v>
      </c>
      <c r="AA18" s="555" t="s">
        <v>43</v>
      </c>
      <c r="AB18" s="559">
        <f>Z18+10</f>
        <v>40158</v>
      </c>
      <c r="AC18" s="560" t="s">
        <v>744</v>
      </c>
      <c r="AD18" s="559">
        <v>40602</v>
      </c>
      <c r="AE18" s="561"/>
    </row>
    <row r="19" spans="1:31" x14ac:dyDescent="0.25">
      <c r="A19" s="733"/>
      <c r="B19" s="729"/>
      <c r="C19" s="729"/>
      <c r="D19" s="741"/>
      <c r="E19" s="729"/>
      <c r="F19" s="555" t="s">
        <v>44</v>
      </c>
      <c r="G19" s="556">
        <f>H19-10</f>
        <v>39721</v>
      </c>
      <c r="H19" s="556">
        <f>J19-10</f>
        <v>39731</v>
      </c>
      <c r="I19" s="556"/>
      <c r="J19" s="556">
        <f>L19-12</f>
        <v>39741</v>
      </c>
      <c r="K19" s="556">
        <v>39745</v>
      </c>
      <c r="L19" s="556">
        <f>N19-9</f>
        <v>39753</v>
      </c>
      <c r="M19" s="555" t="s">
        <v>44</v>
      </c>
      <c r="N19" s="557">
        <v>39762</v>
      </c>
      <c r="O19" s="557">
        <v>39805</v>
      </c>
      <c r="P19" s="557">
        <v>40049</v>
      </c>
      <c r="Q19" s="556">
        <f>P19+6</f>
        <v>40055</v>
      </c>
      <c r="R19" s="556">
        <f>Q19+10</f>
        <v>40065</v>
      </c>
      <c r="S19" s="556">
        <f>R19+10</f>
        <v>40075</v>
      </c>
      <c r="T19" s="556">
        <f>S19+5</f>
        <v>40080</v>
      </c>
      <c r="U19" s="555" t="s">
        <v>44</v>
      </c>
      <c r="V19" s="556">
        <f>T19+10</f>
        <v>40090</v>
      </c>
      <c r="W19" s="556">
        <f>V19+7</f>
        <v>40097</v>
      </c>
      <c r="X19" s="558">
        <v>116189.07</v>
      </c>
      <c r="Y19" s="562">
        <f>Z19-10</f>
        <v>40152</v>
      </c>
      <c r="Z19" s="557" t="s">
        <v>399</v>
      </c>
      <c r="AA19" s="555" t="s">
        <v>44</v>
      </c>
      <c r="AB19" s="557">
        <v>40167</v>
      </c>
      <c r="AC19" s="563"/>
      <c r="AD19" s="559">
        <v>40621</v>
      </c>
      <c r="AE19" s="561"/>
    </row>
    <row r="20" spans="1:31" x14ac:dyDescent="0.25">
      <c r="A20" s="733"/>
      <c r="B20" s="729"/>
      <c r="C20" s="729"/>
      <c r="D20" s="741"/>
      <c r="E20" s="729"/>
      <c r="F20" s="564"/>
      <c r="G20" s="565"/>
      <c r="H20" s="565"/>
      <c r="I20" s="565"/>
      <c r="J20" s="565"/>
      <c r="K20" s="565"/>
      <c r="L20" s="565"/>
      <c r="M20" s="564"/>
      <c r="N20" s="566"/>
      <c r="O20" s="567"/>
      <c r="P20" s="567"/>
      <c r="Q20" s="565"/>
      <c r="R20" s="565"/>
      <c r="S20" s="565"/>
      <c r="T20" s="565"/>
      <c r="U20" s="564"/>
      <c r="V20" s="565"/>
      <c r="W20" s="565"/>
      <c r="X20" s="568"/>
      <c r="Y20" s="567"/>
      <c r="Z20" s="567"/>
      <c r="AA20" s="564"/>
      <c r="AB20" s="567"/>
      <c r="AC20" s="564"/>
      <c r="AD20" s="567"/>
      <c r="AE20" s="569"/>
    </row>
    <row r="21" spans="1:31" x14ac:dyDescent="0.25">
      <c r="A21" s="733" t="s">
        <v>405</v>
      </c>
      <c r="B21" s="729" t="s">
        <v>397</v>
      </c>
      <c r="C21" s="729" t="s">
        <v>396</v>
      </c>
      <c r="D21" s="741">
        <v>129265</v>
      </c>
      <c r="E21" s="729" t="s">
        <v>94</v>
      </c>
      <c r="F21" s="555" t="s">
        <v>43</v>
      </c>
      <c r="G21" s="556">
        <f>H21-15</f>
        <v>39668</v>
      </c>
      <c r="H21" s="556">
        <f>I21-10</f>
        <v>39683</v>
      </c>
      <c r="I21" s="556">
        <f>J21-7</f>
        <v>39693</v>
      </c>
      <c r="J21" s="556">
        <f>L21-10</f>
        <v>39700</v>
      </c>
      <c r="K21" s="556">
        <v>39705</v>
      </c>
      <c r="L21" s="556">
        <f>N21-12</f>
        <v>39710</v>
      </c>
      <c r="M21" s="555" t="s">
        <v>43</v>
      </c>
      <c r="N21" s="557">
        <v>39722</v>
      </c>
      <c r="O21" s="557">
        <v>39797</v>
      </c>
      <c r="P21" s="557">
        <v>39887</v>
      </c>
      <c r="Q21" s="556">
        <f>P21+6</f>
        <v>39893</v>
      </c>
      <c r="R21" s="556">
        <f>Q21+10</f>
        <v>39903</v>
      </c>
      <c r="S21" s="556">
        <f>R21+10</f>
        <v>39913</v>
      </c>
      <c r="T21" s="556">
        <f>S21+5</f>
        <v>39918</v>
      </c>
      <c r="U21" s="555" t="s">
        <v>43</v>
      </c>
      <c r="V21" s="556">
        <f>T21+10</f>
        <v>39928</v>
      </c>
      <c r="W21" s="556">
        <f>V21+7</f>
        <v>39935</v>
      </c>
      <c r="X21" s="558"/>
      <c r="Y21" s="557">
        <v>39948</v>
      </c>
      <c r="Z21" s="557">
        <v>40148</v>
      </c>
      <c r="AA21" s="555" t="s">
        <v>43</v>
      </c>
      <c r="AB21" s="559">
        <f>Z21+10</f>
        <v>40158</v>
      </c>
      <c r="AC21" s="560" t="s">
        <v>744</v>
      </c>
      <c r="AD21" s="559">
        <v>40602</v>
      </c>
      <c r="AE21" s="561"/>
    </row>
    <row r="22" spans="1:31" x14ac:dyDescent="0.25">
      <c r="A22" s="733"/>
      <c r="B22" s="729"/>
      <c r="C22" s="729"/>
      <c r="D22" s="741"/>
      <c r="E22" s="729"/>
      <c r="F22" s="555" t="s">
        <v>44</v>
      </c>
      <c r="G22" s="556">
        <f>H22-10</f>
        <v>39721</v>
      </c>
      <c r="H22" s="556">
        <f>J22-10</f>
        <v>39731</v>
      </c>
      <c r="I22" s="556"/>
      <c r="J22" s="556">
        <f>L22-12</f>
        <v>39741</v>
      </c>
      <c r="K22" s="556">
        <v>39745</v>
      </c>
      <c r="L22" s="556">
        <f>N22-9</f>
        <v>39753</v>
      </c>
      <c r="M22" s="555" t="s">
        <v>44</v>
      </c>
      <c r="N22" s="557">
        <v>39762</v>
      </c>
      <c r="O22" s="557">
        <v>39805</v>
      </c>
      <c r="P22" s="557">
        <v>40049</v>
      </c>
      <c r="Q22" s="556">
        <f>P22+6</f>
        <v>40055</v>
      </c>
      <c r="R22" s="556">
        <f>Q22+10</f>
        <v>40065</v>
      </c>
      <c r="S22" s="556">
        <f>R22+10</f>
        <v>40075</v>
      </c>
      <c r="T22" s="556">
        <f>S22+5</f>
        <v>40080</v>
      </c>
      <c r="U22" s="555" t="s">
        <v>44</v>
      </c>
      <c r="V22" s="556">
        <f>T22+10</f>
        <v>40090</v>
      </c>
      <c r="W22" s="556">
        <f>V22+7</f>
        <v>40097</v>
      </c>
      <c r="X22" s="558">
        <v>132128.97</v>
      </c>
      <c r="Y22" s="562">
        <f>Z22-10</f>
        <v>40152</v>
      </c>
      <c r="Z22" s="557" t="s">
        <v>399</v>
      </c>
      <c r="AA22" s="555" t="s">
        <v>44</v>
      </c>
      <c r="AB22" s="557">
        <v>40167</v>
      </c>
      <c r="AC22" s="563"/>
      <c r="AD22" s="559">
        <v>40621</v>
      </c>
      <c r="AE22" s="561"/>
    </row>
    <row r="23" spans="1:31" x14ac:dyDescent="0.25">
      <c r="A23" s="733"/>
      <c r="B23" s="729"/>
      <c r="C23" s="729"/>
      <c r="D23" s="741"/>
      <c r="E23" s="729"/>
      <c r="F23" s="564"/>
      <c r="G23" s="565"/>
      <c r="H23" s="565"/>
      <c r="I23" s="565"/>
      <c r="J23" s="565"/>
      <c r="K23" s="565"/>
      <c r="L23" s="565"/>
      <c r="M23" s="564"/>
      <c r="N23" s="566"/>
      <c r="O23" s="567"/>
      <c r="P23" s="567"/>
      <c r="Q23" s="565"/>
      <c r="R23" s="565"/>
      <c r="S23" s="565"/>
      <c r="T23" s="565"/>
      <c r="U23" s="564"/>
      <c r="V23" s="565"/>
      <c r="W23" s="565"/>
      <c r="X23" s="568"/>
      <c r="Y23" s="567"/>
      <c r="Z23" s="567"/>
      <c r="AA23" s="564"/>
      <c r="AB23" s="567"/>
      <c r="AC23" s="564"/>
      <c r="AD23" s="567"/>
      <c r="AE23" s="569"/>
    </row>
    <row r="24" spans="1:31" x14ac:dyDescent="0.25">
      <c r="A24" s="733" t="s">
        <v>404</v>
      </c>
      <c r="B24" s="729" t="s">
        <v>397</v>
      </c>
      <c r="C24" s="729" t="s">
        <v>396</v>
      </c>
      <c r="D24" s="741">
        <v>129265</v>
      </c>
      <c r="E24" s="729" t="s">
        <v>94</v>
      </c>
      <c r="F24" s="555" t="s">
        <v>43</v>
      </c>
      <c r="G24" s="556">
        <f>H24-15</f>
        <v>39668</v>
      </c>
      <c r="H24" s="556">
        <f>I24-10</f>
        <v>39683</v>
      </c>
      <c r="I24" s="556">
        <f>J24-7</f>
        <v>39693</v>
      </c>
      <c r="J24" s="556">
        <f>L24-10</f>
        <v>39700</v>
      </c>
      <c r="K24" s="556">
        <v>39705</v>
      </c>
      <c r="L24" s="556">
        <f>N24-12</f>
        <v>39710</v>
      </c>
      <c r="M24" s="555" t="s">
        <v>43</v>
      </c>
      <c r="N24" s="557">
        <v>39722</v>
      </c>
      <c r="O24" s="557">
        <v>39797</v>
      </c>
      <c r="P24" s="557">
        <v>39887</v>
      </c>
      <c r="Q24" s="556">
        <f>P24+6</f>
        <v>39893</v>
      </c>
      <c r="R24" s="556">
        <f>Q24+10</f>
        <v>39903</v>
      </c>
      <c r="S24" s="556">
        <f>R24+10</f>
        <v>39913</v>
      </c>
      <c r="T24" s="556">
        <f>S24+5</f>
        <v>39918</v>
      </c>
      <c r="U24" s="555" t="s">
        <v>43</v>
      </c>
      <c r="V24" s="556">
        <f>T24+10</f>
        <v>39928</v>
      </c>
      <c r="W24" s="556">
        <f>V24+7</f>
        <v>39935</v>
      </c>
      <c r="X24" s="558"/>
      <c r="Y24" s="557">
        <v>39948</v>
      </c>
      <c r="Z24" s="557">
        <v>40148</v>
      </c>
      <c r="AA24" s="555" t="s">
        <v>43</v>
      </c>
      <c r="AB24" s="559">
        <f>Z24+10</f>
        <v>40158</v>
      </c>
      <c r="AC24" s="560" t="s">
        <v>744</v>
      </c>
      <c r="AD24" s="559">
        <v>40602</v>
      </c>
      <c r="AE24" s="561"/>
    </row>
    <row r="25" spans="1:31" x14ac:dyDescent="0.25">
      <c r="A25" s="733"/>
      <c r="B25" s="729"/>
      <c r="C25" s="729"/>
      <c r="D25" s="741"/>
      <c r="E25" s="729"/>
      <c r="F25" s="555" t="s">
        <v>44</v>
      </c>
      <c r="G25" s="556">
        <f>H25-10</f>
        <v>39721</v>
      </c>
      <c r="H25" s="556">
        <f>J25-10</f>
        <v>39731</v>
      </c>
      <c r="I25" s="556"/>
      <c r="J25" s="556">
        <f>L25-12</f>
        <v>39741</v>
      </c>
      <c r="K25" s="556">
        <v>39745</v>
      </c>
      <c r="L25" s="556">
        <f>N25-9</f>
        <v>39753</v>
      </c>
      <c r="M25" s="555" t="s">
        <v>44</v>
      </c>
      <c r="N25" s="557">
        <v>39762</v>
      </c>
      <c r="O25" s="557">
        <v>39805</v>
      </c>
      <c r="P25" s="557">
        <v>40049</v>
      </c>
      <c r="Q25" s="556">
        <f>P25+6</f>
        <v>40055</v>
      </c>
      <c r="R25" s="556">
        <f>Q25+10</f>
        <v>40065</v>
      </c>
      <c r="S25" s="556">
        <f>R25+10</f>
        <v>40075</v>
      </c>
      <c r="T25" s="556">
        <f>S25+5</f>
        <v>40080</v>
      </c>
      <c r="U25" s="555" t="s">
        <v>44</v>
      </c>
      <c r="V25" s="556">
        <f>T25+10</f>
        <v>40090</v>
      </c>
      <c r="W25" s="556">
        <f>V25+7</f>
        <v>40097</v>
      </c>
      <c r="X25" s="558">
        <v>110530.8</v>
      </c>
      <c r="Y25" s="562">
        <f>Z25-10</f>
        <v>40152</v>
      </c>
      <c r="Z25" s="557" t="s">
        <v>399</v>
      </c>
      <c r="AA25" s="555" t="s">
        <v>44</v>
      </c>
      <c r="AB25" s="557">
        <v>40167</v>
      </c>
      <c r="AC25" s="563"/>
      <c r="AD25" s="559">
        <v>40621</v>
      </c>
      <c r="AE25" s="561"/>
    </row>
    <row r="26" spans="1:31" x14ac:dyDescent="0.25">
      <c r="A26" s="733"/>
      <c r="B26" s="729"/>
      <c r="C26" s="729"/>
      <c r="D26" s="741"/>
      <c r="E26" s="729"/>
      <c r="F26" s="564"/>
      <c r="G26" s="565"/>
      <c r="H26" s="565"/>
      <c r="I26" s="565"/>
      <c r="J26" s="565"/>
      <c r="K26" s="565"/>
      <c r="L26" s="565"/>
      <c r="M26" s="564"/>
      <c r="N26" s="566"/>
      <c r="O26" s="567"/>
      <c r="P26" s="567"/>
      <c r="Q26" s="565"/>
      <c r="R26" s="565"/>
      <c r="S26" s="565"/>
      <c r="T26" s="565"/>
      <c r="U26" s="564"/>
      <c r="V26" s="565"/>
      <c r="W26" s="565"/>
      <c r="X26" s="568"/>
      <c r="Y26" s="567"/>
      <c r="Z26" s="567"/>
      <c r="AA26" s="564"/>
      <c r="AB26" s="567"/>
      <c r="AC26" s="564"/>
      <c r="AD26" s="567"/>
      <c r="AE26" s="569"/>
    </row>
    <row r="27" spans="1:31" x14ac:dyDescent="0.25">
      <c r="A27" s="733" t="s">
        <v>403</v>
      </c>
      <c r="B27" s="729" t="s">
        <v>397</v>
      </c>
      <c r="C27" s="729" t="s">
        <v>396</v>
      </c>
      <c r="D27" s="741">
        <v>129265</v>
      </c>
      <c r="E27" s="729" t="s">
        <v>94</v>
      </c>
      <c r="F27" s="555" t="s">
        <v>43</v>
      </c>
      <c r="G27" s="556">
        <f>H27-15</f>
        <v>39668</v>
      </c>
      <c r="H27" s="556">
        <f>I27-10</f>
        <v>39683</v>
      </c>
      <c r="I27" s="556">
        <f>J27-7</f>
        <v>39693</v>
      </c>
      <c r="J27" s="556">
        <f>L27-10</f>
        <v>39700</v>
      </c>
      <c r="K27" s="556">
        <v>39705</v>
      </c>
      <c r="L27" s="556">
        <f>N27-12</f>
        <v>39710</v>
      </c>
      <c r="M27" s="555" t="s">
        <v>43</v>
      </c>
      <c r="N27" s="557">
        <v>39722</v>
      </c>
      <c r="O27" s="557">
        <v>39797</v>
      </c>
      <c r="P27" s="557">
        <v>39887</v>
      </c>
      <c r="Q27" s="556">
        <f>P27+6</f>
        <v>39893</v>
      </c>
      <c r="R27" s="556">
        <f>Q27+10</f>
        <v>39903</v>
      </c>
      <c r="S27" s="556">
        <f>R27+10</f>
        <v>39913</v>
      </c>
      <c r="T27" s="556">
        <f>S27+5</f>
        <v>39918</v>
      </c>
      <c r="U27" s="555" t="s">
        <v>43</v>
      </c>
      <c r="V27" s="556">
        <f>T27+10</f>
        <v>39928</v>
      </c>
      <c r="W27" s="556">
        <f>V27+7</f>
        <v>39935</v>
      </c>
      <c r="X27" s="558"/>
      <c r="Y27" s="557">
        <v>39948</v>
      </c>
      <c r="Z27" s="557">
        <v>40148</v>
      </c>
      <c r="AA27" s="555" t="s">
        <v>43</v>
      </c>
      <c r="AB27" s="559">
        <f>Z27+10</f>
        <v>40158</v>
      </c>
      <c r="AC27" s="560" t="s">
        <v>744</v>
      </c>
      <c r="AD27" s="559">
        <v>40602</v>
      </c>
      <c r="AE27" s="561"/>
    </row>
    <row r="28" spans="1:31" x14ac:dyDescent="0.25">
      <c r="A28" s="733"/>
      <c r="B28" s="729"/>
      <c r="C28" s="729"/>
      <c r="D28" s="741"/>
      <c r="E28" s="729"/>
      <c r="F28" s="555" t="s">
        <v>44</v>
      </c>
      <c r="G28" s="556">
        <f>H28-10</f>
        <v>39721</v>
      </c>
      <c r="H28" s="556">
        <f>J28-10</f>
        <v>39731</v>
      </c>
      <c r="I28" s="556"/>
      <c r="J28" s="556">
        <f>L28-12</f>
        <v>39741</v>
      </c>
      <c r="K28" s="556">
        <v>39745</v>
      </c>
      <c r="L28" s="556">
        <f>N28-9</f>
        <v>39753</v>
      </c>
      <c r="M28" s="555" t="s">
        <v>44</v>
      </c>
      <c r="N28" s="557">
        <v>39762</v>
      </c>
      <c r="O28" s="557">
        <v>39805</v>
      </c>
      <c r="P28" s="557">
        <v>40049</v>
      </c>
      <c r="Q28" s="556">
        <f>P28+6</f>
        <v>40055</v>
      </c>
      <c r="R28" s="556">
        <f>Q28+10</f>
        <v>40065</v>
      </c>
      <c r="S28" s="556">
        <f>R28+10</f>
        <v>40075</v>
      </c>
      <c r="T28" s="556">
        <f>S28+5</f>
        <v>40080</v>
      </c>
      <c r="U28" s="555" t="s">
        <v>44</v>
      </c>
      <c r="V28" s="556">
        <f>T28+10</f>
        <v>40090</v>
      </c>
      <c r="W28" s="556">
        <f>V28+7</f>
        <v>40097</v>
      </c>
      <c r="X28" s="558">
        <v>126338.63</v>
      </c>
      <c r="Y28" s="562">
        <f>Z28-10</f>
        <v>40152</v>
      </c>
      <c r="Z28" s="557" t="s">
        <v>399</v>
      </c>
      <c r="AA28" s="555" t="s">
        <v>44</v>
      </c>
      <c r="AB28" s="557">
        <v>40167</v>
      </c>
      <c r="AC28" s="563"/>
      <c r="AD28" s="559">
        <v>40621</v>
      </c>
      <c r="AE28" s="561"/>
    </row>
    <row r="29" spans="1:31" x14ac:dyDescent="0.25">
      <c r="A29" s="733"/>
      <c r="B29" s="729"/>
      <c r="C29" s="729"/>
      <c r="D29" s="741"/>
      <c r="E29" s="729"/>
      <c r="F29" s="564"/>
      <c r="G29" s="565"/>
      <c r="H29" s="565"/>
      <c r="I29" s="565"/>
      <c r="J29" s="565"/>
      <c r="K29" s="565"/>
      <c r="L29" s="565"/>
      <c r="M29" s="564"/>
      <c r="N29" s="566"/>
      <c r="O29" s="567"/>
      <c r="P29" s="567"/>
      <c r="Q29" s="565"/>
      <c r="R29" s="565"/>
      <c r="S29" s="565"/>
      <c r="T29" s="565"/>
      <c r="U29" s="564"/>
      <c r="V29" s="565"/>
      <c r="W29" s="565"/>
      <c r="X29" s="568"/>
      <c r="Y29" s="567"/>
      <c r="Z29" s="567"/>
      <c r="AA29" s="564"/>
      <c r="AB29" s="567"/>
      <c r="AC29" s="564"/>
      <c r="AD29" s="567"/>
      <c r="AE29" s="569"/>
    </row>
    <row r="30" spans="1:31" x14ac:dyDescent="0.25">
      <c r="A30" s="733" t="s">
        <v>402</v>
      </c>
      <c r="B30" s="729" t="s">
        <v>397</v>
      </c>
      <c r="C30" s="729" t="s">
        <v>396</v>
      </c>
      <c r="D30" s="741">
        <v>129265</v>
      </c>
      <c r="E30" s="729" t="s">
        <v>94</v>
      </c>
      <c r="F30" s="555" t="s">
        <v>43</v>
      </c>
      <c r="G30" s="556">
        <f>H30-15</f>
        <v>39668</v>
      </c>
      <c r="H30" s="556">
        <f>I30-10</f>
        <v>39683</v>
      </c>
      <c r="I30" s="556">
        <f>J30-7</f>
        <v>39693</v>
      </c>
      <c r="J30" s="556">
        <f>L30-10</f>
        <v>39700</v>
      </c>
      <c r="K30" s="556">
        <v>39705</v>
      </c>
      <c r="L30" s="556">
        <f>N30-12</f>
        <v>39710</v>
      </c>
      <c r="M30" s="555" t="s">
        <v>43</v>
      </c>
      <c r="N30" s="557">
        <v>39722</v>
      </c>
      <c r="O30" s="557">
        <v>39797</v>
      </c>
      <c r="P30" s="557">
        <v>39887</v>
      </c>
      <c r="Q30" s="556">
        <f>P30+6</f>
        <v>39893</v>
      </c>
      <c r="R30" s="556">
        <f>Q30+10</f>
        <v>39903</v>
      </c>
      <c r="S30" s="556">
        <f>R30+10</f>
        <v>39913</v>
      </c>
      <c r="T30" s="556">
        <f>S30+5</f>
        <v>39918</v>
      </c>
      <c r="U30" s="555" t="s">
        <v>43</v>
      </c>
      <c r="V30" s="556">
        <f>T30+10</f>
        <v>39928</v>
      </c>
      <c r="W30" s="556">
        <f>V30+7</f>
        <v>39935</v>
      </c>
      <c r="X30" s="558"/>
      <c r="Y30" s="557">
        <v>39948</v>
      </c>
      <c r="Z30" s="557">
        <v>40148</v>
      </c>
      <c r="AA30" s="555" t="s">
        <v>43</v>
      </c>
      <c r="AB30" s="559">
        <f>Z30+10</f>
        <v>40158</v>
      </c>
      <c r="AC30" s="560" t="s">
        <v>744</v>
      </c>
      <c r="AD30" s="559">
        <v>40602</v>
      </c>
      <c r="AE30" s="561"/>
    </row>
    <row r="31" spans="1:31" x14ac:dyDescent="0.25">
      <c r="A31" s="733"/>
      <c r="B31" s="729"/>
      <c r="C31" s="729"/>
      <c r="D31" s="741"/>
      <c r="E31" s="729"/>
      <c r="F31" s="555" t="s">
        <v>44</v>
      </c>
      <c r="G31" s="556">
        <f>H31-10</f>
        <v>39721</v>
      </c>
      <c r="H31" s="556">
        <f>J31-10</f>
        <v>39731</v>
      </c>
      <c r="I31" s="556"/>
      <c r="J31" s="556">
        <f>L31-12</f>
        <v>39741</v>
      </c>
      <c r="K31" s="556">
        <v>39745</v>
      </c>
      <c r="L31" s="556">
        <f>N31-9</f>
        <v>39753</v>
      </c>
      <c r="M31" s="555" t="s">
        <v>44</v>
      </c>
      <c r="N31" s="557">
        <v>39762</v>
      </c>
      <c r="O31" s="557">
        <v>39805</v>
      </c>
      <c r="P31" s="557">
        <v>40049</v>
      </c>
      <c r="Q31" s="556">
        <f>P31+6</f>
        <v>40055</v>
      </c>
      <c r="R31" s="556">
        <f>Q31+10</f>
        <v>40065</v>
      </c>
      <c r="S31" s="556">
        <f>R31+10</f>
        <v>40075</v>
      </c>
      <c r="T31" s="556">
        <f>S31+5</f>
        <v>40080</v>
      </c>
      <c r="U31" s="555" t="s">
        <v>44</v>
      </c>
      <c r="V31" s="556">
        <f>T31+10</f>
        <v>40090</v>
      </c>
      <c r="W31" s="556">
        <f>V31+7</f>
        <v>40097</v>
      </c>
      <c r="X31" s="558">
        <v>103350.44</v>
      </c>
      <c r="Y31" s="562">
        <f>Z31-10</f>
        <v>40152</v>
      </c>
      <c r="Z31" s="557" t="s">
        <v>399</v>
      </c>
      <c r="AA31" s="555" t="s">
        <v>44</v>
      </c>
      <c r="AB31" s="557">
        <v>40167</v>
      </c>
      <c r="AC31" s="563"/>
      <c r="AD31" s="559">
        <v>40621</v>
      </c>
      <c r="AE31" s="561"/>
    </row>
    <row r="32" spans="1:31" x14ac:dyDescent="0.25">
      <c r="A32" s="733"/>
      <c r="B32" s="729"/>
      <c r="C32" s="729"/>
      <c r="D32" s="741"/>
      <c r="E32" s="729"/>
      <c r="F32" s="564"/>
      <c r="G32" s="565"/>
      <c r="H32" s="565"/>
      <c r="I32" s="565"/>
      <c r="J32" s="565"/>
      <c r="K32" s="565"/>
      <c r="L32" s="565"/>
      <c r="M32" s="564"/>
      <c r="N32" s="566"/>
      <c r="O32" s="567"/>
      <c r="P32" s="567"/>
      <c r="Q32" s="565"/>
      <c r="R32" s="565"/>
      <c r="S32" s="565"/>
      <c r="T32" s="565"/>
      <c r="U32" s="564"/>
      <c r="V32" s="565"/>
      <c r="W32" s="565"/>
      <c r="X32" s="568"/>
      <c r="Y32" s="567"/>
      <c r="Z32" s="567"/>
      <c r="AA32" s="564"/>
      <c r="AB32" s="567"/>
      <c r="AC32" s="564"/>
      <c r="AD32" s="567"/>
      <c r="AE32" s="569"/>
    </row>
    <row r="33" spans="1:31" x14ac:dyDescent="0.25">
      <c r="A33" s="733" t="s">
        <v>401</v>
      </c>
      <c r="B33" s="729" t="s">
        <v>397</v>
      </c>
      <c r="C33" s="729" t="s">
        <v>396</v>
      </c>
      <c r="D33" s="741">
        <v>129265</v>
      </c>
      <c r="E33" s="729" t="s">
        <v>94</v>
      </c>
      <c r="F33" s="555" t="s">
        <v>43</v>
      </c>
      <c r="G33" s="556">
        <f>H33-15</f>
        <v>39668</v>
      </c>
      <c r="H33" s="556">
        <f>I33-10</f>
        <v>39683</v>
      </c>
      <c r="I33" s="556">
        <f>J33-7</f>
        <v>39693</v>
      </c>
      <c r="J33" s="556">
        <f>L33-10</f>
        <v>39700</v>
      </c>
      <c r="K33" s="556">
        <v>39705</v>
      </c>
      <c r="L33" s="556">
        <f>N33-12</f>
        <v>39710</v>
      </c>
      <c r="M33" s="555" t="s">
        <v>43</v>
      </c>
      <c r="N33" s="557">
        <v>39722</v>
      </c>
      <c r="O33" s="557">
        <v>39797</v>
      </c>
      <c r="P33" s="557">
        <v>39887</v>
      </c>
      <c r="Q33" s="556">
        <f>P33+6</f>
        <v>39893</v>
      </c>
      <c r="R33" s="556">
        <f>Q33+10</f>
        <v>39903</v>
      </c>
      <c r="S33" s="556">
        <f>R33+10</f>
        <v>39913</v>
      </c>
      <c r="T33" s="556">
        <f>S33+5</f>
        <v>39918</v>
      </c>
      <c r="U33" s="555" t="s">
        <v>43</v>
      </c>
      <c r="V33" s="556">
        <f>T33+10</f>
        <v>39928</v>
      </c>
      <c r="W33" s="556">
        <f>V33+7</f>
        <v>39935</v>
      </c>
      <c r="X33" s="558"/>
      <c r="Y33" s="557">
        <v>39948</v>
      </c>
      <c r="Z33" s="557">
        <v>40148</v>
      </c>
      <c r="AA33" s="555" t="s">
        <v>43</v>
      </c>
      <c r="AB33" s="559">
        <f>Z33+10</f>
        <v>40158</v>
      </c>
      <c r="AC33" s="560" t="s">
        <v>744</v>
      </c>
      <c r="AD33" s="559">
        <v>40602</v>
      </c>
      <c r="AE33" s="561"/>
    </row>
    <row r="34" spans="1:31" x14ac:dyDescent="0.25">
      <c r="A34" s="733"/>
      <c r="B34" s="729"/>
      <c r="C34" s="729"/>
      <c r="D34" s="741"/>
      <c r="E34" s="729"/>
      <c r="F34" s="555" t="s">
        <v>44</v>
      </c>
      <c r="G34" s="556">
        <f>H34-10</f>
        <v>39721</v>
      </c>
      <c r="H34" s="556">
        <f>J34-10</f>
        <v>39731</v>
      </c>
      <c r="I34" s="556"/>
      <c r="J34" s="556">
        <f>L34-12</f>
        <v>39741</v>
      </c>
      <c r="K34" s="556">
        <v>39745</v>
      </c>
      <c r="L34" s="556">
        <f>N34-9</f>
        <v>39753</v>
      </c>
      <c r="M34" s="555" t="s">
        <v>44</v>
      </c>
      <c r="N34" s="557">
        <v>39762</v>
      </c>
      <c r="O34" s="557">
        <v>39805</v>
      </c>
      <c r="P34" s="557">
        <v>40049</v>
      </c>
      <c r="Q34" s="556">
        <f>P34+6</f>
        <v>40055</v>
      </c>
      <c r="R34" s="556">
        <f>Q34+10</f>
        <v>40065</v>
      </c>
      <c r="S34" s="556">
        <f>R34+10</f>
        <v>40075</v>
      </c>
      <c r="T34" s="556">
        <f>S34+5</f>
        <v>40080</v>
      </c>
      <c r="U34" s="555" t="s">
        <v>44</v>
      </c>
      <c r="V34" s="556">
        <f>T34+10</f>
        <v>40090</v>
      </c>
      <c r="W34" s="556">
        <f>V34+7</f>
        <v>40097</v>
      </c>
      <c r="X34" s="558">
        <v>101342.69</v>
      </c>
      <c r="Y34" s="562">
        <f>Z34-10</f>
        <v>40152</v>
      </c>
      <c r="Z34" s="557" t="s">
        <v>399</v>
      </c>
      <c r="AA34" s="555" t="s">
        <v>44</v>
      </c>
      <c r="AB34" s="557">
        <v>40167</v>
      </c>
      <c r="AC34" s="563"/>
      <c r="AD34" s="559">
        <v>40621</v>
      </c>
      <c r="AE34" s="561"/>
    </row>
    <row r="35" spans="1:31" x14ac:dyDescent="0.25">
      <c r="A35" s="733"/>
      <c r="B35" s="729"/>
      <c r="C35" s="729"/>
      <c r="D35" s="741"/>
      <c r="E35" s="729"/>
      <c r="F35" s="564"/>
      <c r="G35" s="565"/>
      <c r="H35" s="565"/>
      <c r="I35" s="565"/>
      <c r="J35" s="565"/>
      <c r="K35" s="565"/>
      <c r="L35" s="565"/>
      <c r="M35" s="564"/>
      <c r="N35" s="566"/>
      <c r="O35" s="567"/>
      <c r="P35" s="567"/>
      <c r="Q35" s="565"/>
      <c r="R35" s="565"/>
      <c r="S35" s="565"/>
      <c r="T35" s="565"/>
      <c r="U35" s="564"/>
      <c r="V35" s="565"/>
      <c r="W35" s="565"/>
      <c r="X35" s="568"/>
      <c r="Y35" s="567"/>
      <c r="Z35" s="567"/>
      <c r="AA35" s="564"/>
      <c r="AB35" s="567"/>
      <c r="AC35" s="564"/>
      <c r="AD35" s="567"/>
      <c r="AE35" s="569"/>
    </row>
    <row r="36" spans="1:31" x14ac:dyDescent="0.25">
      <c r="A36" s="732" t="s">
        <v>400</v>
      </c>
      <c r="B36" s="729" t="s">
        <v>397</v>
      </c>
      <c r="C36" s="729" t="s">
        <v>396</v>
      </c>
      <c r="D36" s="741">
        <v>129265</v>
      </c>
      <c r="E36" s="729" t="s">
        <v>94</v>
      </c>
      <c r="F36" s="555" t="s">
        <v>43</v>
      </c>
      <c r="G36" s="556">
        <f>H36-15</f>
        <v>39668</v>
      </c>
      <c r="H36" s="556">
        <f>I36-10</f>
        <v>39683</v>
      </c>
      <c r="I36" s="556">
        <f>J36-7</f>
        <v>39693</v>
      </c>
      <c r="J36" s="556">
        <f>L36-10</f>
        <v>39700</v>
      </c>
      <c r="K36" s="556">
        <v>39705</v>
      </c>
      <c r="L36" s="556">
        <f>N36-12</f>
        <v>39710</v>
      </c>
      <c r="M36" s="555" t="s">
        <v>43</v>
      </c>
      <c r="N36" s="557">
        <v>39722</v>
      </c>
      <c r="O36" s="557">
        <v>39797</v>
      </c>
      <c r="P36" s="557">
        <v>39887</v>
      </c>
      <c r="Q36" s="556">
        <f>P36+6</f>
        <v>39893</v>
      </c>
      <c r="R36" s="556">
        <f>Q36+10</f>
        <v>39903</v>
      </c>
      <c r="S36" s="556">
        <f>R36+10</f>
        <v>39913</v>
      </c>
      <c r="T36" s="556">
        <f>S36+5</f>
        <v>39918</v>
      </c>
      <c r="U36" s="555" t="s">
        <v>43</v>
      </c>
      <c r="V36" s="556">
        <f>T36+10</f>
        <v>39928</v>
      </c>
      <c r="W36" s="556">
        <f>V36+7</f>
        <v>39935</v>
      </c>
      <c r="X36" s="558"/>
      <c r="Y36" s="557">
        <v>39948</v>
      </c>
      <c r="Z36" s="557">
        <v>40148</v>
      </c>
      <c r="AA36" s="555" t="s">
        <v>43</v>
      </c>
      <c r="AB36" s="559">
        <f>Z36+10</f>
        <v>40158</v>
      </c>
      <c r="AC36" s="560" t="s">
        <v>744</v>
      </c>
      <c r="AD36" s="559">
        <v>40602</v>
      </c>
      <c r="AE36" s="561"/>
    </row>
    <row r="37" spans="1:31" x14ac:dyDescent="0.25">
      <c r="A37" s="732"/>
      <c r="B37" s="729"/>
      <c r="C37" s="729"/>
      <c r="D37" s="741"/>
      <c r="E37" s="729"/>
      <c r="F37" s="555" t="s">
        <v>44</v>
      </c>
      <c r="G37" s="556">
        <f>H37-10</f>
        <v>39721</v>
      </c>
      <c r="H37" s="556">
        <f>J37-10</f>
        <v>39731</v>
      </c>
      <c r="I37" s="556"/>
      <c r="J37" s="556">
        <f>L37-12</f>
        <v>39741</v>
      </c>
      <c r="K37" s="556">
        <v>39745</v>
      </c>
      <c r="L37" s="556">
        <f>N37-9</f>
        <v>39753</v>
      </c>
      <c r="M37" s="555" t="s">
        <v>44</v>
      </c>
      <c r="N37" s="557">
        <v>39762</v>
      </c>
      <c r="O37" s="557">
        <v>39805</v>
      </c>
      <c r="P37" s="557">
        <v>40049</v>
      </c>
      <c r="Q37" s="556">
        <f>P37+6</f>
        <v>40055</v>
      </c>
      <c r="R37" s="556">
        <f>Q37+10</f>
        <v>40065</v>
      </c>
      <c r="S37" s="556">
        <f>R37+10</f>
        <v>40075</v>
      </c>
      <c r="T37" s="556">
        <f>S37+5</f>
        <v>40080</v>
      </c>
      <c r="U37" s="555" t="s">
        <v>44</v>
      </c>
      <c r="V37" s="556">
        <f>T37+10</f>
        <v>40090</v>
      </c>
      <c r="W37" s="556">
        <f>V37+7</f>
        <v>40097</v>
      </c>
      <c r="X37" s="558">
        <v>125402.66</v>
      </c>
      <c r="Y37" s="562">
        <f>Z37-10</f>
        <v>40152</v>
      </c>
      <c r="Z37" s="557" t="s">
        <v>399</v>
      </c>
      <c r="AA37" s="555" t="s">
        <v>44</v>
      </c>
      <c r="AB37" s="557">
        <v>40167</v>
      </c>
      <c r="AC37" s="563"/>
      <c r="AD37" s="559">
        <v>40621</v>
      </c>
      <c r="AE37" s="561"/>
    </row>
    <row r="38" spans="1:31" x14ac:dyDescent="0.25">
      <c r="A38" s="732"/>
      <c r="B38" s="729"/>
      <c r="C38" s="729"/>
      <c r="D38" s="741"/>
      <c r="E38" s="729"/>
      <c r="F38" s="564"/>
      <c r="G38" s="565"/>
      <c r="H38" s="565"/>
      <c r="I38" s="565"/>
      <c r="J38" s="565"/>
      <c r="K38" s="565"/>
      <c r="L38" s="565"/>
      <c r="M38" s="564"/>
      <c r="N38" s="566"/>
      <c r="O38" s="567"/>
      <c r="P38" s="567"/>
      <c r="Q38" s="565"/>
      <c r="R38" s="565"/>
      <c r="S38" s="565"/>
      <c r="T38" s="565"/>
      <c r="U38" s="564"/>
      <c r="V38" s="565"/>
      <c r="W38" s="565"/>
      <c r="X38" s="568"/>
      <c r="Y38" s="567"/>
      <c r="Z38" s="567"/>
      <c r="AA38" s="564"/>
      <c r="AB38" s="567"/>
      <c r="AC38" s="564"/>
      <c r="AD38" s="567"/>
      <c r="AE38" s="569"/>
    </row>
    <row r="39" spans="1:31" x14ac:dyDescent="0.25">
      <c r="A39" s="732" t="s">
        <v>398</v>
      </c>
      <c r="B39" s="748" t="s">
        <v>551</v>
      </c>
      <c r="C39" s="729" t="s">
        <v>396</v>
      </c>
      <c r="D39" s="739">
        <f>2400000/17.349</f>
        <v>138336.50354487289</v>
      </c>
      <c r="E39" s="729" t="s">
        <v>94</v>
      </c>
      <c r="F39" s="555" t="s">
        <v>43</v>
      </c>
      <c r="G39" s="556">
        <f>H39-15</f>
        <v>40913</v>
      </c>
      <c r="H39" s="556">
        <f>I39-10</f>
        <v>40928</v>
      </c>
      <c r="I39" s="556">
        <f>J39-7</f>
        <v>40938</v>
      </c>
      <c r="J39" s="556">
        <f>L39-10</f>
        <v>40945</v>
      </c>
      <c r="K39" s="556">
        <v>39705</v>
      </c>
      <c r="L39" s="556">
        <f>N39-12</f>
        <v>40955</v>
      </c>
      <c r="M39" s="555" t="s">
        <v>43</v>
      </c>
      <c r="N39" s="557">
        <v>40967</v>
      </c>
      <c r="O39" s="557">
        <f>N39+35</f>
        <v>41002</v>
      </c>
      <c r="P39" s="557">
        <f>15+O39</f>
        <v>41017</v>
      </c>
      <c r="Q39" s="556">
        <f>P39+6</f>
        <v>41023</v>
      </c>
      <c r="R39" s="556">
        <f>Q39+10</f>
        <v>41033</v>
      </c>
      <c r="S39" s="556">
        <f>R39+10</f>
        <v>41043</v>
      </c>
      <c r="T39" s="556">
        <f>S39+5</f>
        <v>41048</v>
      </c>
      <c r="U39" s="555" t="s">
        <v>43</v>
      </c>
      <c r="V39" s="556">
        <f>T39+10</f>
        <v>41058</v>
      </c>
      <c r="W39" s="556">
        <f>V39+7</f>
        <v>41065</v>
      </c>
      <c r="X39" s="558"/>
      <c r="Y39" s="557">
        <v>41032</v>
      </c>
      <c r="Z39" s="557">
        <f>10+Y39</f>
        <v>41042</v>
      </c>
      <c r="AA39" s="555" t="s">
        <v>43</v>
      </c>
      <c r="AB39" s="559">
        <f>Z39+10</f>
        <v>41052</v>
      </c>
      <c r="AC39" s="560" t="s">
        <v>744</v>
      </c>
      <c r="AD39" s="559">
        <v>41282</v>
      </c>
      <c r="AE39" s="561"/>
    </row>
    <row r="40" spans="1:31" x14ac:dyDescent="0.25">
      <c r="A40" s="732"/>
      <c r="B40" s="748"/>
      <c r="C40" s="729"/>
      <c r="D40" s="739"/>
      <c r="E40" s="729"/>
      <c r="F40" s="555" t="s">
        <v>50</v>
      </c>
      <c r="G40" s="556">
        <v>41030</v>
      </c>
      <c r="H40" s="556">
        <f>G40+10</f>
        <v>41040</v>
      </c>
      <c r="I40" s="556">
        <f>H40+7</f>
        <v>41047</v>
      </c>
      <c r="J40" s="556">
        <f>I40+10</f>
        <v>41057</v>
      </c>
      <c r="K40" s="556">
        <v>39745</v>
      </c>
      <c r="L40" s="556">
        <f>J40+8</f>
        <v>41065</v>
      </c>
      <c r="M40" s="555"/>
      <c r="N40" s="557">
        <f>L40+12</f>
        <v>41077</v>
      </c>
      <c r="O40" s="557">
        <f>N40+35</f>
        <v>41112</v>
      </c>
      <c r="P40" s="557">
        <f>15+O40</f>
        <v>41127</v>
      </c>
      <c r="Q40" s="556">
        <f>P40+6</f>
        <v>41133</v>
      </c>
      <c r="R40" s="556">
        <f>Q40+10</f>
        <v>41143</v>
      </c>
      <c r="S40" s="556">
        <f>R40+10</f>
        <v>41153</v>
      </c>
      <c r="T40" s="556">
        <f>S40+5</f>
        <v>41158</v>
      </c>
      <c r="U40" s="555"/>
      <c r="V40" s="556">
        <f>T40+10</f>
        <v>41168</v>
      </c>
      <c r="W40" s="556">
        <f>V40+7</f>
        <v>41175</v>
      </c>
      <c r="X40" s="558"/>
      <c r="Y40" s="556">
        <f>W40+10</f>
        <v>41185</v>
      </c>
      <c r="Z40" s="557">
        <f>Y40+7</f>
        <v>41192</v>
      </c>
      <c r="AA40" s="555"/>
      <c r="AB40" s="559">
        <f>AD40-15</f>
        <v>41297</v>
      </c>
      <c r="AC40" s="563"/>
      <c r="AD40" s="559">
        <f>Z40+120</f>
        <v>41312</v>
      </c>
      <c r="AE40" s="561"/>
    </row>
    <row r="41" spans="1:31" x14ac:dyDescent="0.25">
      <c r="A41" s="732"/>
      <c r="B41" s="748"/>
      <c r="C41" s="729"/>
      <c r="D41" s="739"/>
      <c r="E41" s="729"/>
      <c r="F41" s="555" t="s">
        <v>44</v>
      </c>
      <c r="G41" s="556">
        <v>41035</v>
      </c>
      <c r="H41" s="556">
        <v>41045</v>
      </c>
      <c r="I41" s="556">
        <v>41052</v>
      </c>
      <c r="J41" s="556">
        <v>41062</v>
      </c>
      <c r="K41" s="556"/>
      <c r="L41" s="556"/>
      <c r="M41" s="555" t="s">
        <v>44</v>
      </c>
      <c r="N41" s="557"/>
      <c r="O41" s="557"/>
      <c r="P41" s="557"/>
      <c r="Q41" s="556"/>
      <c r="R41" s="556"/>
      <c r="S41" s="556"/>
      <c r="T41" s="556"/>
      <c r="U41" s="555" t="s">
        <v>44</v>
      </c>
      <c r="V41" s="556"/>
      <c r="W41" s="556"/>
      <c r="X41" s="558"/>
      <c r="Y41" s="570"/>
      <c r="Z41" s="557"/>
      <c r="AA41" s="555" t="s">
        <v>44</v>
      </c>
      <c r="AB41" s="557"/>
      <c r="AC41" s="563"/>
      <c r="AD41" s="559"/>
      <c r="AE41" s="571"/>
    </row>
    <row r="42" spans="1:31" x14ac:dyDescent="0.25">
      <c r="A42" s="732"/>
      <c r="B42" s="748"/>
      <c r="C42" s="729"/>
      <c r="D42" s="739"/>
      <c r="E42" s="729"/>
      <c r="F42" s="564"/>
      <c r="G42" s="565"/>
      <c r="H42" s="565"/>
      <c r="I42" s="565"/>
      <c r="J42" s="565"/>
      <c r="K42" s="565"/>
      <c r="L42" s="565"/>
      <c r="M42" s="564"/>
      <c r="N42" s="566"/>
      <c r="O42" s="567"/>
      <c r="P42" s="567"/>
      <c r="Q42" s="565"/>
      <c r="R42" s="565"/>
      <c r="S42" s="565"/>
      <c r="T42" s="565"/>
      <c r="U42" s="564"/>
      <c r="V42" s="565"/>
      <c r="W42" s="565"/>
      <c r="X42" s="568"/>
      <c r="Y42" s="567"/>
      <c r="Z42" s="567"/>
      <c r="AA42" s="564"/>
      <c r="AB42" s="567"/>
      <c r="AC42" s="564"/>
      <c r="AD42" s="567"/>
      <c r="AE42" s="569"/>
    </row>
    <row r="43" spans="1:31" ht="30" customHeight="1" x14ac:dyDescent="0.25">
      <c r="A43" s="749" t="s">
        <v>759</v>
      </c>
      <c r="B43" s="750"/>
      <c r="C43" s="440"/>
      <c r="D43" s="441"/>
      <c r="E43" s="440"/>
      <c r="F43" s="572"/>
      <c r="G43" s="573"/>
      <c r="H43" s="573"/>
      <c r="I43" s="573"/>
      <c r="J43" s="573"/>
      <c r="K43" s="573"/>
      <c r="L43" s="573"/>
      <c r="M43" s="572"/>
      <c r="N43" s="573"/>
      <c r="O43" s="573"/>
      <c r="P43" s="573"/>
      <c r="Q43" s="573"/>
      <c r="R43" s="573"/>
      <c r="S43" s="573"/>
      <c r="T43" s="573"/>
      <c r="U43" s="572"/>
      <c r="V43" s="573"/>
      <c r="W43" s="573"/>
      <c r="X43" s="574"/>
      <c r="Y43" s="573"/>
      <c r="Z43" s="573"/>
      <c r="AA43" s="572"/>
      <c r="AB43" s="573"/>
      <c r="AC43" s="573"/>
      <c r="AD43" s="573"/>
      <c r="AE43" s="575"/>
    </row>
    <row r="44" spans="1:31" x14ac:dyDescent="0.25">
      <c r="A44" s="732" t="s">
        <v>741</v>
      </c>
      <c r="B44" s="748" t="s">
        <v>551</v>
      </c>
      <c r="C44" s="729" t="s">
        <v>396</v>
      </c>
      <c r="D44" s="728">
        <f>(30000*84)/17.349</f>
        <v>145253.32872211654</v>
      </c>
      <c r="E44" s="729" t="s">
        <v>94</v>
      </c>
      <c r="F44" s="555" t="s">
        <v>43</v>
      </c>
      <c r="G44" s="556">
        <v>41120</v>
      </c>
      <c r="H44" s="556">
        <f>G44+10</f>
        <v>41130</v>
      </c>
      <c r="I44" s="556">
        <f>H44+7</f>
        <v>41137</v>
      </c>
      <c r="J44" s="556">
        <f>I44+10</f>
        <v>41147</v>
      </c>
      <c r="K44" s="556">
        <v>41150</v>
      </c>
      <c r="L44" s="556">
        <f>J44+8</f>
        <v>41155</v>
      </c>
      <c r="M44" s="576"/>
      <c r="N44" s="556">
        <f>L44+12</f>
        <v>41167</v>
      </c>
      <c r="O44" s="556">
        <f>N44+35</f>
        <v>41202</v>
      </c>
      <c r="P44" s="556">
        <f>15+O44</f>
        <v>41217</v>
      </c>
      <c r="Q44" s="556">
        <f>P44+6</f>
        <v>41223</v>
      </c>
      <c r="R44" s="556">
        <f>Q44+10</f>
        <v>41233</v>
      </c>
      <c r="S44" s="556">
        <f>R44+10</f>
        <v>41243</v>
      </c>
      <c r="T44" s="556">
        <f>S44+5</f>
        <v>41248</v>
      </c>
      <c r="U44" s="576"/>
      <c r="V44" s="556">
        <f>T44+10</f>
        <v>41258</v>
      </c>
      <c r="W44" s="556">
        <f>V44+7</f>
        <v>41265</v>
      </c>
      <c r="X44" s="577"/>
      <c r="Y44" s="578">
        <f>W44+10</f>
        <v>41275</v>
      </c>
      <c r="Z44" s="578">
        <f>Y44+7</f>
        <v>41282</v>
      </c>
      <c r="AA44" s="576"/>
      <c r="AB44" s="578">
        <f>AD44-15</f>
        <v>41327</v>
      </c>
      <c r="AC44" s="560" t="s">
        <v>744</v>
      </c>
      <c r="AD44" s="578">
        <f>Z44+60</f>
        <v>41342</v>
      </c>
      <c r="AE44" s="579"/>
    </row>
    <row r="45" spans="1:31" x14ac:dyDescent="0.25">
      <c r="A45" s="732"/>
      <c r="B45" s="748"/>
      <c r="C45" s="729"/>
      <c r="D45" s="728"/>
      <c r="E45" s="729"/>
      <c r="F45" s="555" t="s">
        <v>44</v>
      </c>
      <c r="G45" s="563"/>
      <c r="H45" s="563"/>
      <c r="I45" s="563"/>
      <c r="J45" s="563"/>
      <c r="K45" s="563"/>
      <c r="L45" s="563"/>
      <c r="M45" s="555"/>
      <c r="N45" s="563"/>
      <c r="O45" s="563"/>
      <c r="P45" s="563"/>
      <c r="Q45" s="563"/>
      <c r="R45" s="563"/>
      <c r="S45" s="563"/>
      <c r="T45" s="563"/>
      <c r="U45" s="555"/>
      <c r="V45" s="563"/>
      <c r="W45" s="563"/>
      <c r="X45" s="577"/>
      <c r="Y45" s="580"/>
      <c r="Z45" s="580"/>
      <c r="AA45" s="555"/>
      <c r="AB45" s="580"/>
      <c r="AC45" s="563"/>
      <c r="AD45" s="580"/>
      <c r="AE45" s="561"/>
    </row>
    <row r="46" spans="1:31" x14ac:dyDescent="0.25">
      <c r="A46" s="732"/>
      <c r="B46" s="748"/>
      <c r="C46" s="729"/>
      <c r="D46" s="728"/>
      <c r="E46" s="729"/>
      <c r="F46" s="564"/>
      <c r="G46" s="565"/>
      <c r="H46" s="565"/>
      <c r="I46" s="565"/>
      <c r="J46" s="565"/>
      <c r="K46" s="565"/>
      <c r="L46" s="565"/>
      <c r="M46" s="564"/>
      <c r="N46" s="566"/>
      <c r="O46" s="567"/>
      <c r="P46" s="567"/>
      <c r="Q46" s="565"/>
      <c r="R46" s="565"/>
      <c r="S46" s="565"/>
      <c r="T46" s="565"/>
      <c r="U46" s="564"/>
      <c r="V46" s="565"/>
      <c r="W46" s="565"/>
      <c r="X46" s="568"/>
      <c r="Y46" s="567"/>
      <c r="Z46" s="567"/>
      <c r="AA46" s="564"/>
      <c r="AB46" s="567"/>
      <c r="AC46" s="564"/>
      <c r="AD46" s="567"/>
      <c r="AE46" s="569"/>
    </row>
    <row r="47" spans="1:31" x14ac:dyDescent="0.25">
      <c r="A47" s="732" t="s">
        <v>742</v>
      </c>
      <c r="B47" s="729" t="s">
        <v>397</v>
      </c>
      <c r="C47" s="729" t="s">
        <v>396</v>
      </c>
      <c r="D47" s="728">
        <f>(4*15*165*84)/17.349</f>
        <v>47933.59847829846</v>
      </c>
      <c r="E47" s="729" t="s">
        <v>94</v>
      </c>
      <c r="F47" s="555" t="s">
        <v>43</v>
      </c>
      <c r="G47" s="556">
        <v>41120</v>
      </c>
      <c r="H47" s="556">
        <f>G47+10</f>
        <v>41130</v>
      </c>
      <c r="I47" s="556">
        <f>H47+7</f>
        <v>41137</v>
      </c>
      <c r="J47" s="556">
        <f>I47+10</f>
        <v>41147</v>
      </c>
      <c r="K47" s="556">
        <v>41150</v>
      </c>
      <c r="L47" s="556">
        <f>J47+8</f>
        <v>41155</v>
      </c>
      <c r="M47" s="576"/>
      <c r="N47" s="556">
        <f>L47+12</f>
        <v>41167</v>
      </c>
      <c r="O47" s="556">
        <f>N47+35</f>
        <v>41202</v>
      </c>
      <c r="P47" s="556">
        <f>15+O47</f>
        <v>41217</v>
      </c>
      <c r="Q47" s="556">
        <f>P47+6</f>
        <v>41223</v>
      </c>
      <c r="R47" s="556">
        <f>Q47+10</f>
        <v>41233</v>
      </c>
      <c r="S47" s="556">
        <f>R47+10</f>
        <v>41243</v>
      </c>
      <c r="T47" s="556">
        <f>S47+5</f>
        <v>41248</v>
      </c>
      <c r="U47" s="576"/>
      <c r="V47" s="556">
        <f>T47+10</f>
        <v>41258</v>
      </c>
      <c r="W47" s="556">
        <f>V47+7</f>
        <v>41265</v>
      </c>
      <c r="X47" s="577"/>
      <c r="Y47" s="578">
        <f>W47+10</f>
        <v>41275</v>
      </c>
      <c r="Z47" s="578">
        <f>Y47+7</f>
        <v>41282</v>
      </c>
      <c r="AA47" s="576"/>
      <c r="AB47" s="578">
        <f>AD47-15</f>
        <v>41327</v>
      </c>
      <c r="AC47" s="560" t="s">
        <v>744</v>
      </c>
      <c r="AD47" s="578">
        <f>Z47+60</f>
        <v>41342</v>
      </c>
      <c r="AE47" s="579"/>
    </row>
    <row r="48" spans="1:31" x14ac:dyDescent="0.25">
      <c r="A48" s="732"/>
      <c r="B48" s="729"/>
      <c r="C48" s="729"/>
      <c r="D48" s="728"/>
      <c r="E48" s="729"/>
      <c r="F48" s="555" t="s">
        <v>44</v>
      </c>
      <c r="G48" s="563"/>
      <c r="H48" s="563"/>
      <c r="I48" s="563"/>
      <c r="J48" s="563"/>
      <c r="K48" s="563"/>
      <c r="L48" s="563"/>
      <c r="M48" s="555"/>
      <c r="N48" s="563"/>
      <c r="O48" s="563"/>
      <c r="P48" s="563"/>
      <c r="Q48" s="563"/>
      <c r="R48" s="563"/>
      <c r="S48" s="563"/>
      <c r="T48" s="563"/>
      <c r="U48" s="555"/>
      <c r="V48" s="563"/>
      <c r="W48" s="563"/>
      <c r="X48" s="581"/>
      <c r="Y48" s="580"/>
      <c r="Z48" s="580"/>
      <c r="AA48" s="555"/>
      <c r="AB48" s="580"/>
      <c r="AC48" s="563"/>
      <c r="AD48" s="580"/>
      <c r="AE48" s="561"/>
    </row>
    <row r="49" spans="1:31" x14ac:dyDescent="0.25">
      <c r="A49" s="732"/>
      <c r="B49" s="729"/>
      <c r="C49" s="729"/>
      <c r="D49" s="728"/>
      <c r="E49" s="729"/>
      <c r="F49" s="564"/>
      <c r="G49" s="565"/>
      <c r="H49" s="565"/>
      <c r="I49" s="565"/>
      <c r="J49" s="565"/>
      <c r="K49" s="565"/>
      <c r="L49" s="565"/>
      <c r="M49" s="564"/>
      <c r="N49" s="566"/>
      <c r="O49" s="567"/>
      <c r="P49" s="567"/>
      <c r="Q49" s="565"/>
      <c r="R49" s="565"/>
      <c r="S49" s="565"/>
      <c r="T49" s="565"/>
      <c r="U49" s="564"/>
      <c r="V49" s="565"/>
      <c r="W49" s="565"/>
      <c r="X49" s="568"/>
      <c r="Y49" s="567"/>
      <c r="Z49" s="567"/>
      <c r="AA49" s="564"/>
      <c r="AB49" s="567"/>
      <c r="AC49" s="564"/>
      <c r="AD49" s="567"/>
      <c r="AE49" s="569"/>
    </row>
    <row r="50" spans="1:31" x14ac:dyDescent="0.25">
      <c r="A50" s="730" t="s">
        <v>395</v>
      </c>
      <c r="B50" s="438"/>
      <c r="C50" s="438"/>
      <c r="D50" s="452">
        <f>SUM(D18:D47)</f>
        <v>1236378.4307452878</v>
      </c>
      <c r="E50" s="438"/>
      <c r="F50" s="555" t="s">
        <v>43</v>
      </c>
      <c r="G50" s="563"/>
      <c r="H50" s="563"/>
      <c r="I50" s="563"/>
      <c r="J50" s="563"/>
      <c r="K50" s="563"/>
      <c r="L50" s="563"/>
      <c r="M50" s="555"/>
      <c r="N50" s="563"/>
      <c r="O50" s="563"/>
      <c r="P50" s="563"/>
      <c r="Q50" s="563"/>
      <c r="R50" s="563"/>
      <c r="S50" s="563"/>
      <c r="T50" s="563"/>
      <c r="U50" s="555"/>
      <c r="V50" s="563"/>
      <c r="W50" s="563"/>
      <c r="X50" s="582"/>
      <c r="Y50" s="580"/>
      <c r="Z50" s="580"/>
      <c r="AA50" s="555"/>
      <c r="AB50" s="580"/>
      <c r="AC50" s="563"/>
      <c r="AD50" s="580"/>
      <c r="AE50" s="561"/>
    </row>
    <row r="51" spans="1:31" x14ac:dyDescent="0.25">
      <c r="A51" s="731"/>
      <c r="B51" s="438"/>
      <c r="C51" s="438"/>
      <c r="D51" s="95"/>
      <c r="E51" s="438"/>
      <c r="F51" s="555" t="s">
        <v>44</v>
      </c>
      <c r="G51" s="563"/>
      <c r="H51" s="563"/>
      <c r="I51" s="563"/>
      <c r="J51" s="563"/>
      <c r="K51" s="563"/>
      <c r="L51" s="563"/>
      <c r="M51" s="555"/>
      <c r="N51" s="563"/>
      <c r="O51" s="563"/>
      <c r="P51" s="563"/>
      <c r="Q51" s="563"/>
      <c r="R51" s="563"/>
      <c r="S51" s="563"/>
      <c r="T51" s="563"/>
      <c r="U51" s="555"/>
      <c r="V51" s="563"/>
      <c r="W51" s="563"/>
      <c r="X51" s="582">
        <f>SUM(X18:X48)</f>
        <v>815283.26000000013</v>
      </c>
      <c r="Y51" s="583"/>
      <c r="Z51" s="583"/>
      <c r="AA51" s="555"/>
      <c r="AB51" s="583"/>
      <c r="AC51" s="563"/>
      <c r="AD51" s="583"/>
      <c r="AE51" s="561"/>
    </row>
    <row r="52" spans="1:31" ht="14.4" thickBot="1" x14ac:dyDescent="0.3">
      <c r="A52" s="445"/>
      <c r="B52" s="446"/>
      <c r="C52" s="446"/>
      <c r="D52" s="447"/>
      <c r="E52" s="446"/>
      <c r="F52" s="584"/>
      <c r="G52" s="585"/>
      <c r="H52" s="585"/>
      <c r="I52" s="585"/>
      <c r="J52" s="585"/>
      <c r="K52" s="585"/>
      <c r="L52" s="585"/>
      <c r="M52" s="584"/>
      <c r="N52" s="586"/>
      <c r="O52" s="587"/>
      <c r="P52" s="587"/>
      <c r="Q52" s="585"/>
      <c r="R52" s="585"/>
      <c r="S52" s="585"/>
      <c r="T52" s="585"/>
      <c r="U52" s="584"/>
      <c r="V52" s="585"/>
      <c r="W52" s="585"/>
      <c r="X52" s="588"/>
      <c r="Y52" s="587"/>
      <c r="Z52" s="587"/>
      <c r="AA52" s="584"/>
      <c r="AB52" s="587"/>
      <c r="AC52" s="584"/>
      <c r="AD52" s="587"/>
      <c r="AE52" s="589"/>
    </row>
    <row r="53" spans="1:31" x14ac:dyDescent="0.25">
      <c r="A53" s="427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448"/>
      <c r="AA53" s="61"/>
      <c r="AB53" s="61"/>
      <c r="AC53" s="61"/>
      <c r="AD53" s="61"/>
      <c r="AE53" s="61"/>
    </row>
    <row r="54" spans="1:31" x14ac:dyDescent="0.25">
      <c r="D54" s="449"/>
    </row>
    <row r="55" spans="1:31" x14ac:dyDescent="0.25">
      <c r="D55" s="450"/>
      <c r="F55" s="422"/>
    </row>
    <row r="56" spans="1:31" x14ac:dyDescent="0.25">
      <c r="D56" s="451"/>
      <c r="F56" s="422"/>
    </row>
    <row r="57" spans="1:31" x14ac:dyDescent="0.25">
      <c r="F57" s="422"/>
    </row>
  </sheetData>
  <mergeCells count="70">
    <mergeCell ref="B39:B42"/>
    <mergeCell ref="B44:B46"/>
    <mergeCell ref="B47:B49"/>
    <mergeCell ref="C47:C49"/>
    <mergeCell ref="C44:C46"/>
    <mergeCell ref="C39:C42"/>
    <mergeCell ref="A43:B43"/>
    <mergeCell ref="A1:M1"/>
    <mergeCell ref="B18:B20"/>
    <mergeCell ref="B21:B23"/>
    <mergeCell ref="C18:C20"/>
    <mergeCell ref="C21:C23"/>
    <mergeCell ref="D21:D23"/>
    <mergeCell ref="F11:F12"/>
    <mergeCell ref="A11:A12"/>
    <mergeCell ref="B11:B12"/>
    <mergeCell ref="D11:D12"/>
    <mergeCell ref="E11:E12"/>
    <mergeCell ref="E18:E20"/>
    <mergeCell ref="E21:E23"/>
    <mergeCell ref="D18:D20"/>
    <mergeCell ref="A16:B16"/>
    <mergeCell ref="A18:A20"/>
    <mergeCell ref="B30:B32"/>
    <mergeCell ref="B33:B35"/>
    <mergeCell ref="B36:B38"/>
    <mergeCell ref="A2:M2"/>
    <mergeCell ref="A3:M3"/>
    <mergeCell ref="C36:C38"/>
    <mergeCell ref="D24:D26"/>
    <mergeCell ref="D27:D29"/>
    <mergeCell ref="D30:D32"/>
    <mergeCell ref="C33:C35"/>
    <mergeCell ref="C24:C26"/>
    <mergeCell ref="D33:D35"/>
    <mergeCell ref="D36:D38"/>
    <mergeCell ref="E24:E26"/>
    <mergeCell ref="E27:E29"/>
    <mergeCell ref="E30:E32"/>
    <mergeCell ref="E39:E42"/>
    <mergeCell ref="C27:C29"/>
    <mergeCell ref="C30:C32"/>
    <mergeCell ref="X11:Z11"/>
    <mergeCell ref="AB11:AE11"/>
    <mergeCell ref="G11:H11"/>
    <mergeCell ref="K11:L11"/>
    <mergeCell ref="N11:O11"/>
    <mergeCell ref="P11:T11"/>
    <mergeCell ref="V11:W11"/>
    <mergeCell ref="I11:J11"/>
    <mergeCell ref="M11:M12"/>
    <mergeCell ref="D39:D42"/>
    <mergeCell ref="E33:E35"/>
    <mergeCell ref="E36:E38"/>
    <mergeCell ref="A30:A32"/>
    <mergeCell ref="A33:A35"/>
    <mergeCell ref="A36:A38"/>
    <mergeCell ref="A39:A42"/>
    <mergeCell ref="A44:A46"/>
    <mergeCell ref="A21:A23"/>
    <mergeCell ref="A24:A26"/>
    <mergeCell ref="A27:A29"/>
    <mergeCell ref="B24:B26"/>
    <mergeCell ref="B27:B29"/>
    <mergeCell ref="D47:D49"/>
    <mergeCell ref="D44:D46"/>
    <mergeCell ref="E47:E49"/>
    <mergeCell ref="E44:E46"/>
    <mergeCell ref="A50:A51"/>
    <mergeCell ref="A47:A49"/>
  </mergeCells>
  <printOptions horizontalCentered="1" verticalCentered="1"/>
  <pageMargins left="0.17" right="0.43" top="1.88" bottom="2.09" header="0.25" footer="0.3"/>
  <pageSetup paperSize="8" scale="46" orientation="landscape" r:id="rId1"/>
  <colBreaks count="1" manualBreakCount="1">
    <brk id="30" max="1048575" man="1"/>
  </colBreaks>
  <ignoredErrors>
    <ignoredError sqref="G18:J18 G38:Z38 G20:Y20 H40 J40 J46:V46 H46 H47:J47 H42:H45 J42:V43 M41:V41 L18:W18 G23:Y23 G21:J21 L21:W21 G26:Y26 G24:J24 L24:W24 G29:Y29 G27:J27 L27:W27 G32:Y32 G30:J30 L30:W30 G35:Y35 G33:J33 L33:W33 G37:J37 G36:J36 L36:W36 G39:J39 L39:W39 J45:V45 J44 L44:V44 L47:V47 G19:J19 L19:Y19 G22:J22 L22:Y22 G25:J25 L25:Y25 G28:J28 L28:Y28 G31:J31 L31:Y31 G34:J34 L34:Y34 L37:Y37 L40:V40 AB18 AB21:AB40 W40:Z43 AD40 Y18:Z18 Y21 Y24 Y27 Y30 Y33 Y36 Y39:Z39 W45:Z46 W44 Y44:Z44 W47 Y47:Z47" unlockedFormula="1"/>
    <ignoredError sqref="Z19:Z37" twoDigitTextYear="1" unlockedFormula="1"/>
    <ignoredError sqref="I40 I42:I46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="85" zoomScaleNormal="85" workbookViewId="0">
      <pane xSplit="6" ySplit="9" topLeftCell="G52" activePane="bottomRight" state="frozen"/>
      <selection pane="topRight" activeCell="G1" sqref="G1"/>
      <selection pane="bottomLeft" activeCell="A10" sqref="A10"/>
      <selection pane="bottomRight" activeCell="G62" sqref="G62:G65"/>
    </sheetView>
  </sheetViews>
  <sheetFormatPr defaultColWidth="9.109375" defaultRowHeight="14.4" x14ac:dyDescent="0.3"/>
  <cols>
    <col min="1" max="1" width="20.44140625" style="204" customWidth="1"/>
    <col min="2" max="2" width="12.44140625" style="204" customWidth="1"/>
    <col min="3" max="3" width="4.88671875" style="204" customWidth="1"/>
    <col min="4" max="4" width="13.88671875" style="204" customWidth="1"/>
    <col min="5" max="5" width="7.109375" style="204" customWidth="1"/>
    <col min="6" max="6" width="7.6640625" style="204" customWidth="1"/>
    <col min="7" max="7" width="6.44140625" style="204" customWidth="1"/>
    <col min="8" max="8" width="8.6640625" style="204" bestFit="1" customWidth="1"/>
    <col min="9" max="9" width="16" style="204" customWidth="1"/>
    <col min="10" max="10" width="12.5546875" style="204" customWidth="1"/>
    <col min="11" max="11" width="11.44140625" style="204" customWidth="1"/>
    <col min="12" max="12" width="10" style="204" customWidth="1"/>
    <col min="13" max="14" width="12.5546875" style="204" customWidth="1"/>
    <col min="15" max="15" width="11.6640625" style="204" customWidth="1"/>
    <col min="16" max="16" width="8.6640625" style="204" bestFit="1" customWidth="1"/>
    <col min="17" max="17" width="14.109375" style="204" customWidth="1"/>
    <col min="18" max="18" width="12.5546875" style="204" customWidth="1"/>
    <col min="19" max="20" width="10.5546875" style="204" customWidth="1"/>
    <col min="21" max="21" width="11.33203125" style="204" customWidth="1"/>
    <col min="22" max="22" width="11.109375" style="204" customWidth="1"/>
    <col min="23" max="23" width="16.5546875" style="204" bestFit="1" customWidth="1"/>
    <col min="24" max="24" width="12.88671875" style="204" bestFit="1" customWidth="1"/>
    <col min="25" max="25" width="12.5546875" style="204" bestFit="1" customWidth="1"/>
    <col min="26" max="26" width="8.6640625" style="204" bestFit="1" customWidth="1"/>
    <col min="27" max="27" width="12.5546875" style="204" bestFit="1" customWidth="1"/>
    <col min="28" max="28" width="13" style="204" bestFit="1" customWidth="1"/>
    <col min="29" max="29" width="12.5546875" style="204" bestFit="1" customWidth="1"/>
    <col min="30" max="30" width="16.5546875" style="204" bestFit="1" customWidth="1"/>
    <col min="31" max="16384" width="9.109375" style="204"/>
  </cols>
  <sheetData>
    <row r="1" spans="1:26" s="202" customFormat="1" x14ac:dyDescent="0.3">
      <c r="A1" s="760" t="s">
        <v>450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</row>
    <row r="2" spans="1:26" x14ac:dyDescent="0.3">
      <c r="A2" s="414" t="s">
        <v>1</v>
      </c>
      <c r="B2" s="762" t="s">
        <v>451</v>
      </c>
      <c r="C2" s="762"/>
      <c r="D2" s="762"/>
      <c r="E2" s="762"/>
      <c r="F2" s="762"/>
      <c r="G2" s="762"/>
      <c r="H2" s="762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6">
        <v>17.349900000000002</v>
      </c>
      <c r="T2" s="415"/>
      <c r="U2" s="415"/>
      <c r="V2" s="415"/>
    </row>
    <row r="3" spans="1:26" x14ac:dyDescent="0.3">
      <c r="A3" s="414" t="s">
        <v>3</v>
      </c>
      <c r="B3" s="762" t="s">
        <v>452</v>
      </c>
      <c r="C3" s="762"/>
      <c r="D3" s="762"/>
      <c r="E3" s="762"/>
      <c r="F3" s="762"/>
      <c r="G3" s="762"/>
      <c r="H3" s="762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</row>
    <row r="4" spans="1:26" ht="15" thickBot="1" x14ac:dyDescent="0.35">
      <c r="A4" s="414" t="s">
        <v>453</v>
      </c>
      <c r="B4" s="762" t="s">
        <v>454</v>
      </c>
      <c r="C4" s="762"/>
      <c r="D4" s="762"/>
      <c r="E4" s="762"/>
      <c r="F4" s="762"/>
      <c r="G4" s="762"/>
      <c r="H4" s="762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</row>
    <row r="5" spans="1:26" s="202" customFormat="1" x14ac:dyDescent="0.3">
      <c r="A5" s="743" t="s">
        <v>455</v>
      </c>
      <c r="B5" s="734" t="s">
        <v>9</v>
      </c>
      <c r="C5" s="734"/>
      <c r="D5" s="734"/>
      <c r="E5" s="734"/>
      <c r="F5" s="734"/>
      <c r="G5" s="734"/>
      <c r="H5" s="734"/>
      <c r="I5" s="636" t="s">
        <v>14</v>
      </c>
      <c r="J5" s="636"/>
      <c r="K5" s="734"/>
      <c r="L5" s="734"/>
      <c r="M5" s="734"/>
      <c r="N5" s="734"/>
      <c r="O5" s="734"/>
      <c r="P5" s="734"/>
      <c r="Q5" s="734"/>
      <c r="R5" s="734"/>
      <c r="S5" s="734"/>
      <c r="T5" s="734" t="s">
        <v>20</v>
      </c>
      <c r="U5" s="734"/>
      <c r="V5" s="735"/>
      <c r="W5" s="216"/>
      <c r="X5" s="216"/>
      <c r="Y5" s="216"/>
      <c r="Z5" s="216"/>
    </row>
    <row r="6" spans="1:26" s="202" customFormat="1" ht="15.75" customHeight="1" x14ac:dyDescent="0.3">
      <c r="A6" s="744"/>
      <c r="B6" s="763"/>
      <c r="C6" s="763"/>
      <c r="D6" s="763"/>
      <c r="E6" s="763"/>
      <c r="F6" s="763"/>
      <c r="G6" s="763"/>
      <c r="H6" s="763"/>
      <c r="I6" s="745"/>
      <c r="J6" s="745"/>
      <c r="K6" s="765" t="s">
        <v>456</v>
      </c>
      <c r="L6" s="763" t="s">
        <v>16</v>
      </c>
      <c r="M6" s="763"/>
      <c r="N6" s="763" t="s">
        <v>17</v>
      </c>
      <c r="O6" s="763"/>
      <c r="P6" s="763" t="s">
        <v>18</v>
      </c>
      <c r="Q6" s="763"/>
      <c r="R6" s="763"/>
      <c r="S6" s="763"/>
      <c r="T6" s="763"/>
      <c r="U6" s="763"/>
      <c r="V6" s="764"/>
      <c r="W6" s="216"/>
      <c r="X6" s="216"/>
      <c r="Y6" s="216"/>
      <c r="Z6" s="216"/>
    </row>
    <row r="7" spans="1:26" s="202" customFormat="1" ht="23.25" customHeight="1" thickBot="1" x14ac:dyDescent="0.35">
      <c r="A7" s="744"/>
      <c r="B7" s="763"/>
      <c r="C7" s="763"/>
      <c r="D7" s="763"/>
      <c r="E7" s="763"/>
      <c r="F7" s="763"/>
      <c r="G7" s="763"/>
      <c r="H7" s="763"/>
      <c r="I7" s="745"/>
      <c r="J7" s="745"/>
      <c r="K7" s="765"/>
      <c r="L7" s="763"/>
      <c r="M7" s="763"/>
      <c r="N7" s="763"/>
      <c r="O7" s="763"/>
      <c r="P7" s="763"/>
      <c r="Q7" s="763"/>
      <c r="R7" s="763"/>
      <c r="S7" s="763"/>
      <c r="T7" s="763"/>
      <c r="U7" s="763"/>
      <c r="V7" s="764"/>
      <c r="W7" s="216"/>
      <c r="X7" s="216"/>
      <c r="Y7" s="216"/>
      <c r="Z7" s="216"/>
    </row>
    <row r="8" spans="1:26" s="202" customFormat="1" ht="70.5" customHeight="1" x14ac:dyDescent="0.3">
      <c r="A8" s="744"/>
      <c r="B8" s="324" t="s">
        <v>21</v>
      </c>
      <c r="C8" s="324" t="s">
        <v>457</v>
      </c>
      <c r="D8" s="324" t="s">
        <v>458</v>
      </c>
      <c r="E8" s="324" t="s">
        <v>10</v>
      </c>
      <c r="F8" s="324" t="s">
        <v>11</v>
      </c>
      <c r="G8" s="324" t="s">
        <v>12</v>
      </c>
      <c r="H8" s="324" t="s">
        <v>13</v>
      </c>
      <c r="I8" s="324" t="s">
        <v>24</v>
      </c>
      <c r="J8" s="324" t="s">
        <v>459</v>
      </c>
      <c r="K8" s="324" t="s">
        <v>26</v>
      </c>
      <c r="L8" s="324" t="s">
        <v>27</v>
      </c>
      <c r="M8" s="324" t="s">
        <v>28</v>
      </c>
      <c r="N8" s="324" t="s">
        <v>29</v>
      </c>
      <c r="O8" s="324" t="s">
        <v>25</v>
      </c>
      <c r="P8" s="324" t="s">
        <v>13</v>
      </c>
      <c r="Q8" s="417" t="s">
        <v>460</v>
      </c>
      <c r="R8" s="324" t="s">
        <v>31</v>
      </c>
      <c r="S8" s="324" t="s">
        <v>19</v>
      </c>
      <c r="T8" s="324" t="s">
        <v>32</v>
      </c>
      <c r="U8" s="324" t="s">
        <v>33</v>
      </c>
      <c r="V8" s="86" t="s">
        <v>34</v>
      </c>
      <c r="W8" s="216"/>
      <c r="X8" s="216"/>
      <c r="Y8" s="216"/>
      <c r="Z8" s="216"/>
    </row>
    <row r="9" spans="1:26" s="202" customFormat="1" ht="18" customHeight="1" x14ac:dyDescent="0.25">
      <c r="A9" s="407"/>
      <c r="B9" s="408"/>
      <c r="C9" s="408"/>
      <c r="D9" s="408"/>
      <c r="E9" s="408"/>
      <c r="F9" s="408"/>
      <c r="G9" s="408"/>
      <c r="H9" s="408"/>
      <c r="I9" s="418" t="s">
        <v>83</v>
      </c>
      <c r="J9" s="418" t="s">
        <v>84</v>
      </c>
      <c r="K9" s="418" t="s">
        <v>85</v>
      </c>
      <c r="L9" s="419" t="s">
        <v>86</v>
      </c>
      <c r="M9" s="418" t="s">
        <v>87</v>
      </c>
      <c r="N9" s="418" t="s">
        <v>88</v>
      </c>
      <c r="O9" s="418" t="s">
        <v>84</v>
      </c>
      <c r="P9" s="408"/>
      <c r="Q9" s="420"/>
      <c r="R9" s="418" t="s">
        <v>89</v>
      </c>
      <c r="S9" s="418" t="s">
        <v>90</v>
      </c>
      <c r="T9" s="408"/>
      <c r="U9" s="408"/>
      <c r="V9" s="421"/>
      <c r="W9" s="216"/>
      <c r="X9" s="216"/>
      <c r="Y9" s="216"/>
      <c r="Z9" s="216"/>
    </row>
    <row r="10" spans="1:26" s="202" customFormat="1" ht="22.5" customHeight="1" x14ac:dyDescent="0.3">
      <c r="A10" s="766" t="s">
        <v>461</v>
      </c>
      <c r="B10" s="767" t="s">
        <v>462</v>
      </c>
      <c r="C10" s="771"/>
      <c r="D10" s="628">
        <f>26963770.63/S2</f>
        <v>1554116.7747364535</v>
      </c>
      <c r="E10" s="771" t="s">
        <v>463</v>
      </c>
      <c r="F10" s="771" t="s">
        <v>94</v>
      </c>
      <c r="G10" s="771" t="s">
        <v>464</v>
      </c>
      <c r="H10" s="590" t="s">
        <v>43</v>
      </c>
      <c r="I10" s="591">
        <v>40584</v>
      </c>
      <c r="J10" s="591">
        <f>I10+10</f>
        <v>40594</v>
      </c>
      <c r="K10" s="591">
        <f>J10+7</f>
        <v>40601</v>
      </c>
      <c r="L10" s="591">
        <f>K10+10</f>
        <v>40611</v>
      </c>
      <c r="M10" s="591">
        <f>L10+45</f>
        <v>40656</v>
      </c>
      <c r="N10" s="591">
        <f>M10+10</f>
        <v>40666</v>
      </c>
      <c r="O10" s="591">
        <f>N10+10</f>
        <v>40676</v>
      </c>
      <c r="P10" s="590" t="s">
        <v>43</v>
      </c>
      <c r="Q10" s="536"/>
      <c r="R10" s="591">
        <f>O10+7</f>
        <v>40683</v>
      </c>
      <c r="S10" s="591">
        <f>R10+7</f>
        <v>40690</v>
      </c>
      <c r="T10" s="591">
        <f>S10+5</f>
        <v>40695</v>
      </c>
      <c r="U10" s="591">
        <f>T10+120</f>
        <v>40815</v>
      </c>
      <c r="V10" s="592">
        <f>U10+5</f>
        <v>40820</v>
      </c>
      <c r="W10" s="216"/>
      <c r="X10" s="216"/>
      <c r="Y10" s="216"/>
      <c r="Z10" s="216"/>
    </row>
    <row r="11" spans="1:26" s="202" customFormat="1" ht="22.5" customHeight="1" x14ac:dyDescent="0.3">
      <c r="A11" s="766"/>
      <c r="B11" s="767"/>
      <c r="C11" s="772"/>
      <c r="D11" s="629"/>
      <c r="E11" s="772"/>
      <c r="F11" s="772"/>
      <c r="G11" s="772"/>
      <c r="H11" s="590" t="s">
        <v>50</v>
      </c>
      <c r="I11" s="591">
        <f>J11-10</f>
        <v>40942</v>
      </c>
      <c r="J11" s="591">
        <f>K11-7</f>
        <v>40952</v>
      </c>
      <c r="K11" s="591">
        <f>L11-10</f>
        <v>40959</v>
      </c>
      <c r="L11" s="591">
        <f>M11-45</f>
        <v>40969</v>
      </c>
      <c r="M11" s="591">
        <f>N11-10</f>
        <v>41014</v>
      </c>
      <c r="N11" s="591">
        <f>O11-10</f>
        <v>41024</v>
      </c>
      <c r="O11" s="591">
        <f>R11-7</f>
        <v>41034</v>
      </c>
      <c r="P11" s="590"/>
      <c r="Q11" s="536"/>
      <c r="R11" s="591">
        <f>S11-7</f>
        <v>41041</v>
      </c>
      <c r="S11" s="591">
        <f>T11-10</f>
        <v>41048</v>
      </c>
      <c r="T11" s="591">
        <v>41058</v>
      </c>
      <c r="U11" s="591">
        <f>T11+120</f>
        <v>41178</v>
      </c>
      <c r="V11" s="592">
        <f>U11+10</f>
        <v>41188</v>
      </c>
      <c r="W11" s="216"/>
      <c r="X11" s="216"/>
      <c r="Y11" s="216"/>
      <c r="Z11" s="216"/>
    </row>
    <row r="12" spans="1:26" s="202" customFormat="1" ht="22.5" customHeight="1" x14ac:dyDescent="0.3">
      <c r="A12" s="766"/>
      <c r="B12" s="767"/>
      <c r="C12" s="772"/>
      <c r="D12" s="629"/>
      <c r="E12" s="772"/>
      <c r="F12" s="772"/>
      <c r="G12" s="772"/>
      <c r="H12" s="590" t="s">
        <v>44</v>
      </c>
      <c r="I12" s="185">
        <v>40636</v>
      </c>
      <c r="J12" s="185">
        <v>40646</v>
      </c>
      <c r="K12" s="185">
        <v>40653</v>
      </c>
      <c r="L12" s="185">
        <v>40663</v>
      </c>
      <c r="M12" s="185">
        <v>40708</v>
      </c>
      <c r="N12" s="593" t="s">
        <v>465</v>
      </c>
      <c r="O12" s="593" t="s">
        <v>466</v>
      </c>
      <c r="P12" s="590" t="s">
        <v>44</v>
      </c>
      <c r="Q12" s="536">
        <f>(12940595.83/S2)+568807.06</f>
        <v>1314667.0263398637</v>
      </c>
      <c r="R12" s="593" t="s">
        <v>467</v>
      </c>
      <c r="S12" s="594" t="s">
        <v>468</v>
      </c>
      <c r="T12" s="594" t="s">
        <v>735</v>
      </c>
      <c r="U12" s="591">
        <v>41117</v>
      </c>
      <c r="V12" s="592">
        <v>41127</v>
      </c>
      <c r="W12" s="216"/>
      <c r="X12" s="216"/>
      <c r="Y12" s="216"/>
      <c r="Z12" s="216"/>
    </row>
    <row r="13" spans="1:26" s="202" customFormat="1" ht="9.75" customHeight="1" x14ac:dyDescent="0.3">
      <c r="A13" s="766"/>
      <c r="B13" s="767"/>
      <c r="C13" s="773"/>
      <c r="D13" s="630"/>
      <c r="E13" s="773"/>
      <c r="F13" s="773"/>
      <c r="G13" s="773"/>
      <c r="H13" s="595"/>
      <c r="I13" s="595"/>
      <c r="J13" s="595"/>
      <c r="K13" s="595"/>
      <c r="L13" s="595"/>
      <c r="M13" s="595"/>
      <c r="N13" s="595"/>
      <c r="O13" s="595"/>
      <c r="P13" s="595"/>
      <c r="Q13" s="596"/>
      <c r="R13" s="595"/>
      <c r="S13" s="595"/>
      <c r="T13" s="595"/>
      <c r="U13" s="595"/>
      <c r="V13" s="597"/>
      <c r="W13" s="216"/>
      <c r="X13" s="216"/>
      <c r="Y13" s="216"/>
      <c r="Z13" s="216"/>
    </row>
    <row r="14" spans="1:26" s="202" customFormat="1" ht="22.5" customHeight="1" x14ac:dyDescent="0.3">
      <c r="A14" s="766" t="s">
        <v>469</v>
      </c>
      <c r="B14" s="767" t="s">
        <v>470</v>
      </c>
      <c r="C14" s="771"/>
      <c r="D14" s="628">
        <f>37270325.76/S2</f>
        <v>2148157.9582591252</v>
      </c>
      <c r="E14" s="771" t="s">
        <v>463</v>
      </c>
      <c r="F14" s="771" t="s">
        <v>94</v>
      </c>
      <c r="G14" s="771" t="s">
        <v>464</v>
      </c>
      <c r="H14" s="590" t="s">
        <v>43</v>
      </c>
      <c r="I14" s="591">
        <v>40584</v>
      </c>
      <c r="J14" s="591">
        <f>I14+10</f>
        <v>40594</v>
      </c>
      <c r="K14" s="591">
        <f>J14+7</f>
        <v>40601</v>
      </c>
      <c r="L14" s="591">
        <f>K14+10</f>
        <v>40611</v>
      </c>
      <c r="M14" s="591">
        <f>L14+45</f>
        <v>40656</v>
      </c>
      <c r="N14" s="591">
        <f>M14+10</f>
        <v>40666</v>
      </c>
      <c r="O14" s="591">
        <f>N14+10</f>
        <v>40676</v>
      </c>
      <c r="P14" s="590" t="s">
        <v>43</v>
      </c>
      <c r="Q14" s="536"/>
      <c r="R14" s="591">
        <f>O14+7</f>
        <v>40683</v>
      </c>
      <c r="S14" s="591">
        <f>R14+7</f>
        <v>40690</v>
      </c>
      <c r="T14" s="591">
        <f>S14+5</f>
        <v>40695</v>
      </c>
      <c r="U14" s="591">
        <f>T14+120</f>
        <v>40815</v>
      </c>
      <c r="V14" s="592">
        <f>U14+5</f>
        <v>40820</v>
      </c>
      <c r="W14" s="216"/>
      <c r="X14" s="216"/>
      <c r="Y14" s="216"/>
      <c r="Z14" s="216"/>
    </row>
    <row r="15" spans="1:26" s="202" customFormat="1" ht="22.5" customHeight="1" x14ac:dyDescent="0.3">
      <c r="A15" s="766"/>
      <c r="B15" s="767"/>
      <c r="C15" s="772"/>
      <c r="D15" s="629"/>
      <c r="E15" s="772"/>
      <c r="F15" s="772"/>
      <c r="G15" s="772"/>
      <c r="H15" s="590" t="s">
        <v>50</v>
      </c>
      <c r="I15" s="591">
        <f>J15-10</f>
        <v>40942</v>
      </c>
      <c r="J15" s="591">
        <f>K15-7</f>
        <v>40952</v>
      </c>
      <c r="K15" s="591">
        <f>L15-10</f>
        <v>40959</v>
      </c>
      <c r="L15" s="591">
        <f>M15-45</f>
        <v>40969</v>
      </c>
      <c r="M15" s="591">
        <f>N15-10</f>
        <v>41014</v>
      </c>
      <c r="N15" s="591">
        <f>O15-10</f>
        <v>41024</v>
      </c>
      <c r="O15" s="591">
        <f>R15-7</f>
        <v>41034</v>
      </c>
      <c r="P15" s="590"/>
      <c r="Q15" s="536"/>
      <c r="R15" s="591">
        <f>S15-7</f>
        <v>41041</v>
      </c>
      <c r="S15" s="591">
        <f>T15-10</f>
        <v>41048</v>
      </c>
      <c r="T15" s="591">
        <v>41058</v>
      </c>
      <c r="U15" s="591">
        <f>T15+120</f>
        <v>41178</v>
      </c>
      <c r="V15" s="592">
        <f>U15+10</f>
        <v>41188</v>
      </c>
      <c r="W15" s="216"/>
      <c r="X15" s="216"/>
      <c r="Y15" s="216"/>
      <c r="Z15" s="216"/>
    </row>
    <row r="16" spans="1:26" s="202" customFormat="1" ht="22.5" customHeight="1" x14ac:dyDescent="0.3">
      <c r="A16" s="766"/>
      <c r="B16" s="767"/>
      <c r="C16" s="772"/>
      <c r="D16" s="629"/>
      <c r="E16" s="772"/>
      <c r="F16" s="772"/>
      <c r="G16" s="772"/>
      <c r="H16" s="590" t="s">
        <v>44</v>
      </c>
      <c r="I16" s="185">
        <v>81247</v>
      </c>
      <c r="J16" s="185">
        <v>81257</v>
      </c>
      <c r="K16" s="185">
        <v>81264</v>
      </c>
      <c r="L16" s="185">
        <v>40663</v>
      </c>
      <c r="M16" s="185">
        <v>40708</v>
      </c>
      <c r="N16" s="593" t="s">
        <v>465</v>
      </c>
      <c r="O16" s="593" t="s">
        <v>466</v>
      </c>
      <c r="P16" s="590" t="s">
        <v>44</v>
      </c>
      <c r="Q16" s="536">
        <f>(13433827.28/S2)+845362.51</f>
        <v>1619650.965841244</v>
      </c>
      <c r="R16" s="593" t="s">
        <v>467</v>
      </c>
      <c r="S16" s="598" t="s">
        <v>468</v>
      </c>
      <c r="T16" s="593" t="s">
        <v>735</v>
      </c>
      <c r="U16" s="591">
        <f>T16+120</f>
        <v>41117</v>
      </c>
      <c r="V16" s="592">
        <f>U16+10</f>
        <v>41127</v>
      </c>
      <c r="W16" s="216"/>
      <c r="X16" s="216"/>
      <c r="Y16" s="216"/>
      <c r="Z16" s="216"/>
    </row>
    <row r="17" spans="1:26" s="202" customFormat="1" ht="9.75" customHeight="1" x14ac:dyDescent="0.3">
      <c r="A17" s="766"/>
      <c r="B17" s="767"/>
      <c r="C17" s="773"/>
      <c r="D17" s="630"/>
      <c r="E17" s="773"/>
      <c r="F17" s="773"/>
      <c r="G17" s="773"/>
      <c r="H17" s="595"/>
      <c r="I17" s="595"/>
      <c r="J17" s="595"/>
      <c r="K17" s="595"/>
      <c r="L17" s="595"/>
      <c r="M17" s="595"/>
      <c r="N17" s="595"/>
      <c r="O17" s="595"/>
      <c r="P17" s="595"/>
      <c r="Q17" s="596"/>
      <c r="R17" s="595"/>
      <c r="S17" s="595"/>
      <c r="T17" s="595"/>
      <c r="U17" s="595"/>
      <c r="V17" s="597"/>
      <c r="W17" s="216"/>
      <c r="X17" s="216"/>
      <c r="Y17" s="216"/>
      <c r="Z17" s="216"/>
    </row>
    <row r="18" spans="1:26" s="202" customFormat="1" ht="22.5" customHeight="1" x14ac:dyDescent="0.3">
      <c r="A18" s="766" t="s">
        <v>471</v>
      </c>
      <c r="B18" s="767" t="s">
        <v>472</v>
      </c>
      <c r="C18" s="771"/>
      <c r="D18" s="628">
        <f>15654518.75/S2</f>
        <v>902282.93823019147</v>
      </c>
      <c r="E18" s="771" t="s">
        <v>463</v>
      </c>
      <c r="F18" s="771" t="s">
        <v>94</v>
      </c>
      <c r="G18" s="771" t="s">
        <v>464</v>
      </c>
      <c r="H18" s="590" t="s">
        <v>43</v>
      </c>
      <c r="I18" s="591">
        <v>40584</v>
      </c>
      <c r="J18" s="591">
        <f>I18+10</f>
        <v>40594</v>
      </c>
      <c r="K18" s="591">
        <f>J18+7</f>
        <v>40601</v>
      </c>
      <c r="L18" s="591">
        <f>K18+7</f>
        <v>40608</v>
      </c>
      <c r="M18" s="591">
        <f>L18+45</f>
        <v>40653</v>
      </c>
      <c r="N18" s="591">
        <f>M18+10</f>
        <v>40663</v>
      </c>
      <c r="O18" s="591">
        <f>N18+10</f>
        <v>40673</v>
      </c>
      <c r="P18" s="590" t="s">
        <v>43</v>
      </c>
      <c r="Q18" s="536"/>
      <c r="R18" s="591">
        <f>O18+7</f>
        <v>40680</v>
      </c>
      <c r="S18" s="591">
        <f>R18+7</f>
        <v>40687</v>
      </c>
      <c r="T18" s="591">
        <f>S18+5</f>
        <v>40692</v>
      </c>
      <c r="U18" s="591">
        <f>T18+120</f>
        <v>40812</v>
      </c>
      <c r="V18" s="592">
        <f>U18+5</f>
        <v>40817</v>
      </c>
      <c r="W18" s="216"/>
      <c r="X18" s="216"/>
      <c r="Y18" s="216"/>
      <c r="Z18" s="216"/>
    </row>
    <row r="19" spans="1:26" s="202" customFormat="1" ht="22.5" customHeight="1" x14ac:dyDescent="0.3">
      <c r="A19" s="766"/>
      <c r="B19" s="767"/>
      <c r="C19" s="772"/>
      <c r="D19" s="629"/>
      <c r="E19" s="772"/>
      <c r="F19" s="772"/>
      <c r="G19" s="772"/>
      <c r="H19" s="590" t="s">
        <v>50</v>
      </c>
      <c r="I19" s="591"/>
      <c r="J19" s="591"/>
      <c r="K19" s="591"/>
      <c r="L19" s="591"/>
      <c r="M19" s="591"/>
      <c r="N19" s="591"/>
      <c r="O19" s="591"/>
      <c r="P19" s="590"/>
      <c r="Q19" s="536"/>
      <c r="R19" s="591"/>
      <c r="S19" s="591">
        <f>T19-10</f>
        <v>41048</v>
      </c>
      <c r="T19" s="591">
        <v>41058</v>
      </c>
      <c r="U19" s="591">
        <f>T19+120</f>
        <v>41178</v>
      </c>
      <c r="V19" s="592">
        <f>U19+10</f>
        <v>41188</v>
      </c>
      <c r="W19" s="216"/>
      <c r="X19" s="216"/>
      <c r="Y19" s="216"/>
      <c r="Z19" s="216"/>
    </row>
    <row r="20" spans="1:26" s="202" customFormat="1" ht="22.5" customHeight="1" x14ac:dyDescent="0.3">
      <c r="A20" s="766"/>
      <c r="B20" s="767"/>
      <c r="C20" s="772"/>
      <c r="D20" s="629"/>
      <c r="E20" s="772"/>
      <c r="F20" s="772"/>
      <c r="G20" s="772"/>
      <c r="H20" s="590" t="s">
        <v>44</v>
      </c>
      <c r="I20" s="185">
        <v>40639</v>
      </c>
      <c r="J20" s="185">
        <v>40649</v>
      </c>
      <c r="K20" s="185">
        <v>40656</v>
      </c>
      <c r="L20" s="185">
        <v>40663</v>
      </c>
      <c r="M20" s="593" t="s">
        <v>110</v>
      </c>
      <c r="N20" s="593" t="s">
        <v>473</v>
      </c>
      <c r="O20" s="593" t="s">
        <v>474</v>
      </c>
      <c r="P20" s="590" t="s">
        <v>44</v>
      </c>
      <c r="Q20" s="536">
        <f>(902000/S2)+428441.56</f>
        <v>480430.3322695808</v>
      </c>
      <c r="R20" s="593" t="s">
        <v>475</v>
      </c>
      <c r="S20" s="598" t="s">
        <v>468</v>
      </c>
      <c r="T20" s="593" t="s">
        <v>735</v>
      </c>
      <c r="U20" s="591">
        <f>T20+120</f>
        <v>41117</v>
      </c>
      <c r="V20" s="592">
        <f>U20+10</f>
        <v>41127</v>
      </c>
      <c r="W20" s="216"/>
      <c r="X20" s="216"/>
      <c r="Y20" s="216"/>
      <c r="Z20" s="216"/>
    </row>
    <row r="21" spans="1:26" s="202" customFormat="1" ht="9.75" customHeight="1" x14ac:dyDescent="0.3">
      <c r="A21" s="766"/>
      <c r="B21" s="767"/>
      <c r="C21" s="773"/>
      <c r="D21" s="630"/>
      <c r="E21" s="773"/>
      <c r="F21" s="773"/>
      <c r="G21" s="773"/>
      <c r="H21" s="595"/>
      <c r="I21" s="595"/>
      <c r="J21" s="595"/>
      <c r="K21" s="595"/>
      <c r="L21" s="595"/>
      <c r="M21" s="595"/>
      <c r="N21" s="595"/>
      <c r="O21" s="595"/>
      <c r="P21" s="595"/>
      <c r="Q21" s="596"/>
      <c r="R21" s="595"/>
      <c r="S21" s="595"/>
      <c r="T21" s="595"/>
      <c r="U21" s="595"/>
      <c r="V21" s="597"/>
      <c r="W21" s="216"/>
      <c r="X21" s="216"/>
      <c r="Y21" s="216"/>
      <c r="Z21" s="216"/>
    </row>
    <row r="22" spans="1:26" s="202" customFormat="1" ht="21" customHeight="1" x14ac:dyDescent="0.3">
      <c r="A22" s="766" t="s">
        <v>476</v>
      </c>
      <c r="B22" s="767" t="s">
        <v>477</v>
      </c>
      <c r="C22" s="767"/>
      <c r="D22" s="768">
        <f>23816348.86/S2</f>
        <v>1372708.1343408318</v>
      </c>
      <c r="E22" s="767" t="s">
        <v>463</v>
      </c>
      <c r="F22" s="767" t="s">
        <v>94</v>
      </c>
      <c r="G22" s="767" t="s">
        <v>464</v>
      </c>
      <c r="H22" s="590" t="s">
        <v>43</v>
      </c>
      <c r="I22" s="591">
        <v>40862</v>
      </c>
      <c r="J22" s="591">
        <f>I22+10</f>
        <v>40872</v>
      </c>
      <c r="K22" s="591">
        <f>J22+7</f>
        <v>40879</v>
      </c>
      <c r="L22" s="591">
        <f>K22+7</f>
        <v>40886</v>
      </c>
      <c r="M22" s="591">
        <f>L22+45</f>
        <v>40931</v>
      </c>
      <c r="N22" s="591">
        <f>M22+10</f>
        <v>40941</v>
      </c>
      <c r="O22" s="591">
        <f>N22+10</f>
        <v>40951</v>
      </c>
      <c r="P22" s="590" t="s">
        <v>43</v>
      </c>
      <c r="Q22" s="536"/>
      <c r="R22" s="591">
        <f>O22+7</f>
        <v>40958</v>
      </c>
      <c r="S22" s="591">
        <f>R22+7</f>
        <v>40965</v>
      </c>
      <c r="T22" s="591">
        <f>S22+5</f>
        <v>40970</v>
      </c>
      <c r="U22" s="591">
        <f>T22+120</f>
        <v>41090</v>
      </c>
      <c r="V22" s="592">
        <f>U22+5</f>
        <v>41095</v>
      </c>
      <c r="W22" s="216"/>
      <c r="X22" s="216"/>
      <c r="Y22" s="216"/>
      <c r="Z22" s="216"/>
    </row>
    <row r="23" spans="1:26" s="202" customFormat="1" ht="22.5" customHeight="1" x14ac:dyDescent="0.3">
      <c r="A23" s="766"/>
      <c r="B23" s="767"/>
      <c r="C23" s="767"/>
      <c r="D23" s="769"/>
      <c r="E23" s="767"/>
      <c r="F23" s="767"/>
      <c r="G23" s="767"/>
      <c r="H23" s="590" t="s">
        <v>50</v>
      </c>
      <c r="I23" s="591">
        <v>40986</v>
      </c>
      <c r="J23" s="591">
        <f>I23+10</f>
        <v>40996</v>
      </c>
      <c r="K23" s="591">
        <f>J23+7</f>
        <v>41003</v>
      </c>
      <c r="L23" s="591">
        <f>K23+7</f>
        <v>41010</v>
      </c>
      <c r="M23" s="591">
        <f>L23+45</f>
        <v>41055</v>
      </c>
      <c r="N23" s="591">
        <f>M23+10</f>
        <v>41065</v>
      </c>
      <c r="O23" s="591">
        <f>N23+10</f>
        <v>41075</v>
      </c>
      <c r="P23" s="590" t="s">
        <v>50</v>
      </c>
      <c r="Q23" s="536"/>
      <c r="R23" s="591">
        <f>O23+7</f>
        <v>41082</v>
      </c>
      <c r="S23" s="591">
        <f>R23+7</f>
        <v>41089</v>
      </c>
      <c r="T23" s="591">
        <f>S23+5</f>
        <v>41094</v>
      </c>
      <c r="U23" s="591">
        <f>T23+120</f>
        <v>41214</v>
      </c>
      <c r="V23" s="592"/>
      <c r="W23" s="216"/>
      <c r="X23" s="216"/>
      <c r="Y23" s="216"/>
      <c r="Z23" s="216"/>
    </row>
    <row r="24" spans="1:26" s="202" customFormat="1" ht="22.5" customHeight="1" x14ac:dyDescent="0.3">
      <c r="A24" s="766"/>
      <c r="B24" s="767"/>
      <c r="C24" s="767"/>
      <c r="D24" s="769"/>
      <c r="E24" s="767"/>
      <c r="F24" s="767"/>
      <c r="G24" s="767"/>
      <c r="H24" s="590" t="s">
        <v>50</v>
      </c>
      <c r="I24" s="591"/>
      <c r="J24" s="591">
        <v>41025</v>
      </c>
      <c r="K24" s="591">
        <f>L24-7</f>
        <v>41093</v>
      </c>
      <c r="L24" s="591">
        <v>41100</v>
      </c>
      <c r="M24" s="591">
        <f>L24+45</f>
        <v>41145</v>
      </c>
      <c r="N24" s="591">
        <f>M24+20</f>
        <v>41165</v>
      </c>
      <c r="O24" s="591">
        <f>N24+10</f>
        <v>41175</v>
      </c>
      <c r="P24" s="590" t="s">
        <v>50</v>
      </c>
      <c r="Q24" s="536"/>
      <c r="R24" s="591">
        <f>O24+7</f>
        <v>41182</v>
      </c>
      <c r="S24" s="591">
        <f>R24+20</f>
        <v>41202</v>
      </c>
      <c r="T24" s="591">
        <f>S24+5</f>
        <v>41207</v>
      </c>
      <c r="U24" s="591">
        <f>T24+120</f>
        <v>41327</v>
      </c>
      <c r="V24" s="592">
        <f>U24+10</f>
        <v>41337</v>
      </c>
      <c r="W24" s="216"/>
      <c r="X24" s="216"/>
      <c r="Y24" s="216"/>
      <c r="Z24" s="216"/>
    </row>
    <row r="25" spans="1:26" s="202" customFormat="1" ht="18.75" customHeight="1" x14ac:dyDescent="0.3">
      <c r="A25" s="766"/>
      <c r="B25" s="767"/>
      <c r="C25" s="767"/>
      <c r="D25" s="769"/>
      <c r="E25" s="767"/>
      <c r="F25" s="767"/>
      <c r="G25" s="767"/>
      <c r="H25" s="590" t="s">
        <v>44</v>
      </c>
      <c r="I25" s="593"/>
      <c r="J25" s="593"/>
      <c r="K25" s="593"/>
      <c r="L25" s="593"/>
      <c r="M25" s="593"/>
      <c r="N25" s="593"/>
      <c r="O25" s="593"/>
      <c r="P25" s="590" t="s">
        <v>44</v>
      </c>
      <c r="Q25" s="536"/>
      <c r="R25" s="593"/>
      <c r="S25" s="593"/>
      <c r="T25" s="593"/>
      <c r="U25" s="593"/>
      <c r="V25" s="599"/>
      <c r="W25" s="216"/>
      <c r="X25" s="216"/>
      <c r="Y25" s="216"/>
      <c r="Z25" s="216"/>
    </row>
    <row r="26" spans="1:26" s="202" customFormat="1" ht="9.75" customHeight="1" x14ac:dyDescent="0.3">
      <c r="A26" s="766"/>
      <c r="B26" s="767"/>
      <c r="C26" s="767"/>
      <c r="D26" s="770"/>
      <c r="E26" s="767"/>
      <c r="F26" s="767"/>
      <c r="G26" s="767"/>
      <c r="H26" s="595"/>
      <c r="I26" s="595"/>
      <c r="J26" s="595"/>
      <c r="K26" s="595"/>
      <c r="L26" s="595"/>
      <c r="M26" s="595"/>
      <c r="N26" s="595"/>
      <c r="O26" s="595"/>
      <c r="P26" s="595"/>
      <c r="Q26" s="596"/>
      <c r="R26" s="595"/>
      <c r="S26" s="595"/>
      <c r="T26" s="595"/>
      <c r="U26" s="595"/>
      <c r="V26" s="597"/>
      <c r="W26" s="216"/>
      <c r="X26" s="216"/>
      <c r="Y26" s="216"/>
      <c r="Z26" s="216"/>
    </row>
    <row r="27" spans="1:26" s="202" customFormat="1" ht="22.5" customHeight="1" x14ac:dyDescent="0.3">
      <c r="A27" s="766" t="s">
        <v>478</v>
      </c>
      <c r="B27" s="767" t="s">
        <v>479</v>
      </c>
      <c r="C27" s="767"/>
      <c r="D27" s="768">
        <f>11869009/S2</f>
        <v>684096.68067251099</v>
      </c>
      <c r="E27" s="767" t="s">
        <v>463</v>
      </c>
      <c r="F27" s="767" t="s">
        <v>94</v>
      </c>
      <c r="G27" s="767" t="s">
        <v>464</v>
      </c>
      <c r="H27" s="590" t="s">
        <v>43</v>
      </c>
      <c r="I27" s="591">
        <v>40770</v>
      </c>
      <c r="J27" s="591">
        <f>I27+10</f>
        <v>40780</v>
      </c>
      <c r="K27" s="591">
        <f>J27+7</f>
        <v>40787</v>
      </c>
      <c r="L27" s="591">
        <f>K27+7</f>
        <v>40794</v>
      </c>
      <c r="M27" s="591">
        <f>L27+45</f>
        <v>40839</v>
      </c>
      <c r="N27" s="591">
        <f>M27+10</f>
        <v>40849</v>
      </c>
      <c r="O27" s="591">
        <f>N27+10</f>
        <v>40859</v>
      </c>
      <c r="P27" s="590" t="s">
        <v>43</v>
      </c>
      <c r="Q27" s="536"/>
      <c r="R27" s="591">
        <f>O27+7</f>
        <v>40866</v>
      </c>
      <c r="S27" s="591">
        <f>R27+7</f>
        <v>40873</v>
      </c>
      <c r="T27" s="591">
        <f>S27+5</f>
        <v>40878</v>
      </c>
      <c r="U27" s="591">
        <f>T27+120</f>
        <v>40998</v>
      </c>
      <c r="V27" s="592">
        <f>U27+5</f>
        <v>41003</v>
      </c>
      <c r="W27" s="216"/>
      <c r="X27" s="216"/>
      <c r="Y27" s="216"/>
      <c r="Z27" s="216"/>
    </row>
    <row r="28" spans="1:26" s="202" customFormat="1" ht="22.5" customHeight="1" x14ac:dyDescent="0.3">
      <c r="A28" s="766"/>
      <c r="B28" s="767"/>
      <c r="C28" s="767"/>
      <c r="D28" s="769"/>
      <c r="E28" s="767"/>
      <c r="F28" s="767"/>
      <c r="G28" s="767"/>
      <c r="H28" s="590" t="s">
        <v>50</v>
      </c>
      <c r="I28" s="591">
        <v>41014</v>
      </c>
      <c r="J28" s="591">
        <f>I28+10</f>
        <v>41024</v>
      </c>
      <c r="K28" s="591">
        <f>J28+7</f>
        <v>41031</v>
      </c>
      <c r="L28" s="591">
        <f>K28+7</f>
        <v>41038</v>
      </c>
      <c r="M28" s="591">
        <f>L28+45</f>
        <v>41083</v>
      </c>
      <c r="N28" s="591">
        <f>M28+10</f>
        <v>41093</v>
      </c>
      <c r="O28" s="591">
        <f>N28+10</f>
        <v>41103</v>
      </c>
      <c r="P28" s="590" t="s">
        <v>50</v>
      </c>
      <c r="Q28" s="536"/>
      <c r="R28" s="591">
        <f>O28+7</f>
        <v>41110</v>
      </c>
      <c r="S28" s="591">
        <f>R28+7</f>
        <v>41117</v>
      </c>
      <c r="T28" s="591">
        <f>S28+5</f>
        <v>41122</v>
      </c>
      <c r="U28" s="591">
        <f>T28+120</f>
        <v>41242</v>
      </c>
      <c r="V28" s="592"/>
      <c r="W28" s="216"/>
      <c r="X28" s="216"/>
      <c r="Y28" s="216"/>
      <c r="Z28" s="216"/>
    </row>
    <row r="29" spans="1:26" s="202" customFormat="1" ht="22.5" customHeight="1" x14ac:dyDescent="0.3">
      <c r="A29" s="766"/>
      <c r="B29" s="767"/>
      <c r="C29" s="767"/>
      <c r="D29" s="769"/>
      <c r="E29" s="767"/>
      <c r="F29" s="767"/>
      <c r="G29" s="767"/>
      <c r="H29" s="590" t="s">
        <v>50</v>
      </c>
      <c r="I29" s="591"/>
      <c r="J29" s="591">
        <v>41075</v>
      </c>
      <c r="K29" s="591">
        <f>J29+15</f>
        <v>41090</v>
      </c>
      <c r="L29" s="591">
        <f>K29+7</f>
        <v>41097</v>
      </c>
      <c r="M29" s="591">
        <f>L29+45</f>
        <v>41142</v>
      </c>
      <c r="N29" s="591">
        <f>M29+20</f>
        <v>41162</v>
      </c>
      <c r="O29" s="591">
        <f>N29+10</f>
        <v>41172</v>
      </c>
      <c r="P29" s="590" t="s">
        <v>50</v>
      </c>
      <c r="Q29" s="536"/>
      <c r="R29" s="591">
        <f>O29+7</f>
        <v>41179</v>
      </c>
      <c r="S29" s="591">
        <f>R29+20</f>
        <v>41199</v>
      </c>
      <c r="T29" s="591">
        <f>S29+5</f>
        <v>41204</v>
      </c>
      <c r="U29" s="591">
        <f>T29+120</f>
        <v>41324</v>
      </c>
      <c r="V29" s="592">
        <f>U29+10</f>
        <v>41334</v>
      </c>
      <c r="W29" s="216"/>
      <c r="X29" s="216"/>
      <c r="Y29" s="216"/>
      <c r="Z29" s="216"/>
    </row>
    <row r="30" spans="1:26" s="202" customFormat="1" ht="22.5" customHeight="1" x14ac:dyDescent="0.3">
      <c r="A30" s="766"/>
      <c r="B30" s="767"/>
      <c r="C30" s="767"/>
      <c r="D30" s="769"/>
      <c r="E30" s="767"/>
      <c r="F30" s="767"/>
      <c r="G30" s="767"/>
      <c r="H30" s="590" t="s">
        <v>44</v>
      </c>
      <c r="I30" s="593"/>
      <c r="J30" s="593"/>
      <c r="K30" s="593"/>
      <c r="L30" s="593"/>
      <c r="M30" s="593"/>
      <c r="N30" s="593"/>
      <c r="O30" s="593"/>
      <c r="P30" s="590" t="s">
        <v>44</v>
      </c>
      <c r="Q30" s="536"/>
      <c r="R30" s="593"/>
      <c r="S30" s="593"/>
      <c r="T30" s="593"/>
      <c r="U30" s="593"/>
      <c r="V30" s="599"/>
      <c r="W30" s="216"/>
      <c r="X30" s="216"/>
      <c r="Y30" s="216"/>
      <c r="Z30" s="216"/>
    </row>
    <row r="31" spans="1:26" s="202" customFormat="1" ht="9.75" customHeight="1" x14ac:dyDescent="0.3">
      <c r="A31" s="766"/>
      <c r="B31" s="767"/>
      <c r="C31" s="767"/>
      <c r="D31" s="770"/>
      <c r="E31" s="767"/>
      <c r="F31" s="767"/>
      <c r="G31" s="767"/>
      <c r="H31" s="595"/>
      <c r="I31" s="595"/>
      <c r="J31" s="595"/>
      <c r="K31" s="595"/>
      <c r="L31" s="595"/>
      <c r="M31" s="595"/>
      <c r="N31" s="595"/>
      <c r="O31" s="595"/>
      <c r="P31" s="595"/>
      <c r="Q31" s="596"/>
      <c r="R31" s="595"/>
      <c r="S31" s="595"/>
      <c r="T31" s="595"/>
      <c r="U31" s="595"/>
      <c r="V31" s="597"/>
      <c r="W31" s="216"/>
      <c r="X31" s="216"/>
      <c r="Y31" s="216"/>
      <c r="Z31" s="216"/>
    </row>
    <row r="32" spans="1:26" s="202" customFormat="1" ht="22.5" customHeight="1" x14ac:dyDescent="0.3">
      <c r="A32" s="766" t="s">
        <v>480</v>
      </c>
      <c r="B32" s="767" t="s">
        <v>481</v>
      </c>
      <c r="C32" s="767"/>
      <c r="D32" s="768">
        <f>6724814.36/S2</f>
        <v>387599.60345592769</v>
      </c>
      <c r="E32" s="767" t="s">
        <v>40</v>
      </c>
      <c r="F32" s="767" t="s">
        <v>94</v>
      </c>
      <c r="G32" s="767" t="s">
        <v>94</v>
      </c>
      <c r="H32" s="590" t="s">
        <v>43</v>
      </c>
      <c r="I32" s="591">
        <v>40770</v>
      </c>
      <c r="J32" s="591">
        <f>I32+5</f>
        <v>40775</v>
      </c>
      <c r="K32" s="591">
        <f>J32+7</f>
        <v>40782</v>
      </c>
      <c r="L32" s="591">
        <f>K32+7</f>
        <v>40789</v>
      </c>
      <c r="M32" s="591">
        <f>L32+45</f>
        <v>40834</v>
      </c>
      <c r="N32" s="591">
        <f>M32+10</f>
        <v>40844</v>
      </c>
      <c r="O32" s="591">
        <f>N32+10</f>
        <v>40854</v>
      </c>
      <c r="P32" s="590" t="s">
        <v>43</v>
      </c>
      <c r="Q32" s="536"/>
      <c r="R32" s="591">
        <f>O32+7</f>
        <v>40861</v>
      </c>
      <c r="S32" s="591">
        <f>R32+7</f>
        <v>40868</v>
      </c>
      <c r="T32" s="591">
        <f>S32+5</f>
        <v>40873</v>
      </c>
      <c r="U32" s="591">
        <f>T32+120</f>
        <v>40993</v>
      </c>
      <c r="V32" s="592">
        <f>U32+5</f>
        <v>40998</v>
      </c>
      <c r="W32" s="216"/>
      <c r="X32" s="216"/>
      <c r="Y32" s="216"/>
      <c r="Z32" s="216"/>
    </row>
    <row r="33" spans="1:26" s="202" customFormat="1" ht="22.5" customHeight="1" x14ac:dyDescent="0.3">
      <c r="A33" s="766"/>
      <c r="B33" s="767"/>
      <c r="C33" s="767"/>
      <c r="D33" s="769"/>
      <c r="E33" s="767"/>
      <c r="F33" s="767"/>
      <c r="G33" s="767"/>
      <c r="H33" s="590" t="s">
        <v>50</v>
      </c>
      <c r="I33" s="591">
        <v>40986</v>
      </c>
      <c r="J33" s="591">
        <f>I33+10</f>
        <v>40996</v>
      </c>
      <c r="K33" s="591">
        <f>J33+7</f>
        <v>41003</v>
      </c>
      <c r="L33" s="591">
        <f>K33+7</f>
        <v>41010</v>
      </c>
      <c r="M33" s="591">
        <f>L33+45</f>
        <v>41055</v>
      </c>
      <c r="N33" s="591">
        <f>M33+10</f>
        <v>41065</v>
      </c>
      <c r="O33" s="591">
        <f>N33+10</f>
        <v>41075</v>
      </c>
      <c r="P33" s="590" t="s">
        <v>50</v>
      </c>
      <c r="Q33" s="536"/>
      <c r="R33" s="591">
        <f>O33+7</f>
        <v>41082</v>
      </c>
      <c r="S33" s="591">
        <f>R33+7</f>
        <v>41089</v>
      </c>
      <c r="T33" s="591">
        <f>S33+5</f>
        <v>41094</v>
      </c>
      <c r="U33" s="591">
        <f>T33+120</f>
        <v>41214</v>
      </c>
      <c r="V33" s="592"/>
      <c r="W33" s="216"/>
      <c r="X33" s="216"/>
      <c r="Y33" s="216"/>
      <c r="Z33" s="216"/>
    </row>
    <row r="34" spans="1:26" s="202" customFormat="1" ht="22.5" customHeight="1" x14ac:dyDescent="0.3">
      <c r="A34" s="766"/>
      <c r="B34" s="767"/>
      <c r="C34" s="767"/>
      <c r="D34" s="769"/>
      <c r="E34" s="767"/>
      <c r="F34" s="767"/>
      <c r="G34" s="767"/>
      <c r="H34" s="590" t="s">
        <v>50</v>
      </c>
      <c r="I34" s="591"/>
      <c r="J34" s="591">
        <v>41075</v>
      </c>
      <c r="K34" s="591">
        <f>J34+15</f>
        <v>41090</v>
      </c>
      <c r="L34" s="591">
        <f>K34+7</f>
        <v>41097</v>
      </c>
      <c r="M34" s="591">
        <f>L34+30</f>
        <v>41127</v>
      </c>
      <c r="N34" s="591">
        <f>M34+20</f>
        <v>41147</v>
      </c>
      <c r="O34" s="591">
        <f>N34</f>
        <v>41147</v>
      </c>
      <c r="P34" s="590" t="s">
        <v>50</v>
      </c>
      <c r="Q34" s="536"/>
      <c r="R34" s="591">
        <f>O34+7</f>
        <v>41154</v>
      </c>
      <c r="S34" s="591">
        <f>R34+20</f>
        <v>41174</v>
      </c>
      <c r="T34" s="591">
        <f>S34+5</f>
        <v>41179</v>
      </c>
      <c r="U34" s="591">
        <f>T34+120</f>
        <v>41299</v>
      </c>
      <c r="V34" s="592">
        <f>U34+10</f>
        <v>41309</v>
      </c>
      <c r="W34" s="216"/>
      <c r="X34" s="216"/>
      <c r="Y34" s="216"/>
      <c r="Z34" s="216"/>
    </row>
    <row r="35" spans="1:26" s="202" customFormat="1" x14ac:dyDescent="0.3">
      <c r="A35" s="766"/>
      <c r="B35" s="767"/>
      <c r="C35" s="767"/>
      <c r="D35" s="769"/>
      <c r="E35" s="767"/>
      <c r="F35" s="767"/>
      <c r="G35" s="767"/>
      <c r="H35" s="590" t="s">
        <v>44</v>
      </c>
      <c r="I35" s="593"/>
      <c r="J35" s="593"/>
      <c r="K35" s="593"/>
      <c r="L35" s="593"/>
      <c r="M35" s="593"/>
      <c r="N35" s="593"/>
      <c r="O35" s="593"/>
      <c r="P35" s="590" t="s">
        <v>44</v>
      </c>
      <c r="Q35" s="536"/>
      <c r="R35" s="593"/>
      <c r="S35" s="593"/>
      <c r="T35" s="593"/>
      <c r="U35" s="593"/>
      <c r="V35" s="599"/>
      <c r="W35" s="216"/>
      <c r="X35" s="216"/>
      <c r="Y35" s="216"/>
      <c r="Z35" s="216"/>
    </row>
    <row r="36" spans="1:26" s="202" customFormat="1" ht="9.75" customHeight="1" x14ac:dyDescent="0.3">
      <c r="A36" s="766"/>
      <c r="B36" s="767"/>
      <c r="C36" s="767"/>
      <c r="D36" s="770"/>
      <c r="E36" s="767"/>
      <c r="F36" s="767"/>
      <c r="G36" s="767"/>
      <c r="H36" s="595"/>
      <c r="I36" s="595"/>
      <c r="J36" s="595"/>
      <c r="K36" s="595"/>
      <c r="L36" s="595"/>
      <c r="M36" s="595"/>
      <c r="N36" s="595"/>
      <c r="O36" s="595"/>
      <c r="P36" s="595"/>
      <c r="Q36" s="596"/>
      <c r="R36" s="595"/>
      <c r="S36" s="595"/>
      <c r="T36" s="595"/>
      <c r="U36" s="595"/>
      <c r="V36" s="597"/>
      <c r="W36" s="216"/>
      <c r="X36" s="216"/>
      <c r="Y36" s="216"/>
      <c r="Z36" s="216"/>
    </row>
    <row r="37" spans="1:26" s="202" customFormat="1" ht="22.5" customHeight="1" x14ac:dyDescent="0.3">
      <c r="A37" s="766" t="s">
        <v>482</v>
      </c>
      <c r="B37" s="767" t="s">
        <v>483</v>
      </c>
      <c r="C37" s="767"/>
      <c r="D37" s="768">
        <f>4300000/S2</f>
        <v>247840.04518758031</v>
      </c>
      <c r="E37" s="767" t="s">
        <v>40</v>
      </c>
      <c r="F37" s="767" t="s">
        <v>94</v>
      </c>
      <c r="G37" s="767" t="s">
        <v>94</v>
      </c>
      <c r="H37" s="590" t="s">
        <v>43</v>
      </c>
      <c r="I37" s="591">
        <v>40770</v>
      </c>
      <c r="J37" s="591">
        <f>I37+5</f>
        <v>40775</v>
      </c>
      <c r="K37" s="591">
        <f>J37+7</f>
        <v>40782</v>
      </c>
      <c r="L37" s="591">
        <f>K37+7</f>
        <v>40789</v>
      </c>
      <c r="M37" s="591">
        <f>L37+45</f>
        <v>40834</v>
      </c>
      <c r="N37" s="591">
        <f>M37+10</f>
        <v>40844</v>
      </c>
      <c r="O37" s="591">
        <f>N37+10</f>
        <v>40854</v>
      </c>
      <c r="P37" s="590" t="s">
        <v>43</v>
      </c>
      <c r="Q37" s="536"/>
      <c r="R37" s="591">
        <f>O37+7</f>
        <v>40861</v>
      </c>
      <c r="S37" s="591">
        <f>R37+7</f>
        <v>40868</v>
      </c>
      <c r="T37" s="591">
        <f>S37+5</f>
        <v>40873</v>
      </c>
      <c r="U37" s="591">
        <f>T37+120</f>
        <v>40993</v>
      </c>
      <c r="V37" s="592">
        <f>U37+5</f>
        <v>40998</v>
      </c>
      <c r="W37" s="216"/>
      <c r="X37" s="216"/>
      <c r="Y37" s="216"/>
      <c r="Z37" s="216"/>
    </row>
    <row r="38" spans="1:26" s="202" customFormat="1" ht="18.75" customHeight="1" x14ac:dyDescent="0.3">
      <c r="A38" s="766"/>
      <c r="B38" s="767"/>
      <c r="C38" s="767"/>
      <c r="D38" s="769"/>
      <c r="E38" s="767"/>
      <c r="F38" s="767"/>
      <c r="G38" s="767"/>
      <c r="H38" s="590" t="s">
        <v>50</v>
      </c>
      <c r="I38" s="591">
        <v>41100</v>
      </c>
      <c r="J38" s="591">
        <f>I38+5</f>
        <v>41105</v>
      </c>
      <c r="K38" s="591">
        <f>J38+7</f>
        <v>41112</v>
      </c>
      <c r="L38" s="591">
        <f>K38+7</f>
        <v>41119</v>
      </c>
      <c r="M38" s="591">
        <f>L38+45</f>
        <v>41164</v>
      </c>
      <c r="N38" s="591">
        <f>M38+10</f>
        <v>41174</v>
      </c>
      <c r="O38" s="591">
        <f>N38+10</f>
        <v>41184</v>
      </c>
      <c r="P38" s="590" t="s">
        <v>50</v>
      </c>
      <c r="Q38" s="536"/>
      <c r="R38" s="591">
        <f>O38+7</f>
        <v>41191</v>
      </c>
      <c r="S38" s="591">
        <f>R38+7</f>
        <v>41198</v>
      </c>
      <c r="T38" s="591">
        <f>S38+5</f>
        <v>41203</v>
      </c>
      <c r="U38" s="591">
        <f>T38+120</f>
        <v>41323</v>
      </c>
      <c r="V38" s="592"/>
      <c r="W38" s="216"/>
      <c r="X38" s="216"/>
      <c r="Y38" s="216"/>
      <c r="Z38" s="216"/>
    </row>
    <row r="39" spans="1:26" s="202" customFormat="1" ht="18.75" customHeight="1" x14ac:dyDescent="0.3">
      <c r="A39" s="766"/>
      <c r="B39" s="767"/>
      <c r="C39" s="767"/>
      <c r="D39" s="769"/>
      <c r="E39" s="767"/>
      <c r="F39" s="767"/>
      <c r="G39" s="767"/>
      <c r="H39" s="590" t="s">
        <v>50</v>
      </c>
      <c r="I39" s="591"/>
      <c r="J39" s="591">
        <v>41075</v>
      </c>
      <c r="K39" s="591">
        <f>J39+15</f>
        <v>41090</v>
      </c>
      <c r="L39" s="591">
        <f>K39+7</f>
        <v>41097</v>
      </c>
      <c r="M39" s="591">
        <f>L39+30</f>
        <v>41127</v>
      </c>
      <c r="N39" s="591">
        <f>M39+20</f>
        <v>41147</v>
      </c>
      <c r="O39" s="591">
        <f>N39</f>
        <v>41147</v>
      </c>
      <c r="P39" s="590" t="s">
        <v>50</v>
      </c>
      <c r="Q39" s="536"/>
      <c r="R39" s="591">
        <f>O39+7</f>
        <v>41154</v>
      </c>
      <c r="S39" s="591">
        <f>R39+20</f>
        <v>41174</v>
      </c>
      <c r="T39" s="591">
        <f>S39+5</f>
        <v>41179</v>
      </c>
      <c r="U39" s="591">
        <f>T39+120</f>
        <v>41299</v>
      </c>
      <c r="V39" s="592">
        <f>U39+10</f>
        <v>41309</v>
      </c>
      <c r="W39" s="216"/>
      <c r="X39" s="216"/>
      <c r="Y39" s="216"/>
      <c r="Z39" s="216"/>
    </row>
    <row r="40" spans="1:26" s="202" customFormat="1" x14ac:dyDescent="0.3">
      <c r="A40" s="766"/>
      <c r="B40" s="767"/>
      <c r="C40" s="767"/>
      <c r="D40" s="769"/>
      <c r="E40" s="767"/>
      <c r="F40" s="767"/>
      <c r="G40" s="767"/>
      <c r="H40" s="590" t="s">
        <v>44</v>
      </c>
      <c r="I40" s="593"/>
      <c r="J40" s="593"/>
      <c r="K40" s="593"/>
      <c r="L40" s="593"/>
      <c r="M40" s="593"/>
      <c r="N40" s="593"/>
      <c r="O40" s="593"/>
      <c r="P40" s="590" t="s">
        <v>44</v>
      </c>
      <c r="Q40" s="536"/>
      <c r="R40" s="593"/>
      <c r="S40" s="593"/>
      <c r="T40" s="593"/>
      <c r="U40" s="593"/>
      <c r="V40" s="599"/>
      <c r="W40" s="216"/>
      <c r="X40" s="216"/>
      <c r="Y40" s="216"/>
      <c r="Z40" s="216"/>
    </row>
    <row r="41" spans="1:26" s="202" customFormat="1" x14ac:dyDescent="0.3">
      <c r="A41" s="766"/>
      <c r="B41" s="767"/>
      <c r="C41" s="767"/>
      <c r="D41" s="770"/>
      <c r="E41" s="767"/>
      <c r="F41" s="767"/>
      <c r="G41" s="767"/>
      <c r="H41" s="595"/>
      <c r="I41" s="595"/>
      <c r="J41" s="595"/>
      <c r="K41" s="595"/>
      <c r="L41" s="595"/>
      <c r="M41" s="595"/>
      <c r="N41" s="595"/>
      <c r="O41" s="595"/>
      <c r="P41" s="595"/>
      <c r="Q41" s="596"/>
      <c r="R41" s="595"/>
      <c r="S41" s="595"/>
      <c r="T41" s="595"/>
      <c r="U41" s="595"/>
      <c r="V41" s="597"/>
      <c r="W41" s="216"/>
      <c r="X41" s="216"/>
      <c r="Y41" s="216"/>
      <c r="Z41" s="216"/>
    </row>
    <row r="42" spans="1:26" s="202" customFormat="1" ht="22.5" customHeight="1" x14ac:dyDescent="0.3">
      <c r="A42" s="766" t="s">
        <v>484</v>
      </c>
      <c r="B42" s="767" t="s">
        <v>485</v>
      </c>
      <c r="C42" s="767"/>
      <c r="D42" s="768">
        <f>4525011.26/S2</f>
        <v>260809.06864016503</v>
      </c>
      <c r="E42" s="767" t="s">
        <v>40</v>
      </c>
      <c r="F42" s="767" t="s">
        <v>94</v>
      </c>
      <c r="G42" s="767" t="s">
        <v>94</v>
      </c>
      <c r="H42" s="590" t="s">
        <v>43</v>
      </c>
      <c r="I42" s="600">
        <v>40548</v>
      </c>
      <c r="J42" s="591">
        <f>I42+5</f>
        <v>40553</v>
      </c>
      <c r="K42" s="591">
        <f>J42+7</f>
        <v>40560</v>
      </c>
      <c r="L42" s="591">
        <f>K42+7</f>
        <v>40567</v>
      </c>
      <c r="M42" s="591">
        <f>L42+45</f>
        <v>40612</v>
      </c>
      <c r="N42" s="591">
        <f>M42+10</f>
        <v>40622</v>
      </c>
      <c r="O42" s="591">
        <f>N42+10</f>
        <v>40632</v>
      </c>
      <c r="P42" s="590" t="s">
        <v>43</v>
      </c>
      <c r="Q42" s="536"/>
      <c r="R42" s="591">
        <f>O42+7</f>
        <v>40639</v>
      </c>
      <c r="S42" s="591">
        <f>R42+7</f>
        <v>40646</v>
      </c>
      <c r="T42" s="591">
        <f>S42+5</f>
        <v>40651</v>
      </c>
      <c r="U42" s="591">
        <f>T42+120</f>
        <v>40771</v>
      </c>
      <c r="V42" s="592">
        <f>U42+5</f>
        <v>40776</v>
      </c>
      <c r="W42" s="216"/>
      <c r="X42" s="216"/>
      <c r="Y42" s="216"/>
      <c r="Z42" s="216"/>
    </row>
    <row r="43" spans="1:26" s="202" customFormat="1" ht="22.5" customHeight="1" x14ac:dyDescent="0.3">
      <c r="A43" s="766"/>
      <c r="B43" s="767"/>
      <c r="C43" s="767"/>
      <c r="D43" s="769"/>
      <c r="E43" s="767"/>
      <c r="F43" s="767"/>
      <c r="G43" s="767"/>
      <c r="H43" s="590" t="s">
        <v>50</v>
      </c>
      <c r="I43" s="591">
        <v>41100</v>
      </c>
      <c r="J43" s="591">
        <f>I43+5</f>
        <v>41105</v>
      </c>
      <c r="K43" s="591">
        <f>J43+7</f>
        <v>41112</v>
      </c>
      <c r="L43" s="591">
        <f>K43+7</f>
        <v>41119</v>
      </c>
      <c r="M43" s="591">
        <f>L43+45</f>
        <v>41164</v>
      </c>
      <c r="N43" s="591">
        <f>M43+10</f>
        <v>41174</v>
      </c>
      <c r="O43" s="591">
        <f>N43+10</f>
        <v>41184</v>
      </c>
      <c r="P43" s="590" t="s">
        <v>50</v>
      </c>
      <c r="Q43" s="536"/>
      <c r="R43" s="591">
        <f>O43+7</f>
        <v>41191</v>
      </c>
      <c r="S43" s="591">
        <f>R43+7</f>
        <v>41198</v>
      </c>
      <c r="T43" s="591">
        <f>S43+5</f>
        <v>41203</v>
      </c>
      <c r="U43" s="591">
        <f>T43+120</f>
        <v>41323</v>
      </c>
      <c r="V43" s="592"/>
      <c r="W43" s="216"/>
      <c r="X43" s="216"/>
      <c r="Y43" s="216"/>
      <c r="Z43" s="216"/>
    </row>
    <row r="44" spans="1:26" s="202" customFormat="1" ht="22.5" customHeight="1" x14ac:dyDescent="0.3">
      <c r="A44" s="766"/>
      <c r="B44" s="767"/>
      <c r="C44" s="767"/>
      <c r="D44" s="769"/>
      <c r="E44" s="767"/>
      <c r="F44" s="767"/>
      <c r="G44" s="767"/>
      <c r="H44" s="590" t="s">
        <v>50</v>
      </c>
      <c r="I44" s="591"/>
      <c r="J44" s="591">
        <v>41075</v>
      </c>
      <c r="K44" s="591">
        <f>J44+15</f>
        <v>41090</v>
      </c>
      <c r="L44" s="591">
        <f>K44+7</f>
        <v>41097</v>
      </c>
      <c r="M44" s="591">
        <f>L44+30</f>
        <v>41127</v>
      </c>
      <c r="N44" s="591">
        <f>M44+20</f>
        <v>41147</v>
      </c>
      <c r="O44" s="591">
        <f>N44</f>
        <v>41147</v>
      </c>
      <c r="P44" s="590" t="s">
        <v>50</v>
      </c>
      <c r="Q44" s="536"/>
      <c r="R44" s="591">
        <f>O44+7</f>
        <v>41154</v>
      </c>
      <c r="S44" s="591">
        <f>R44+20</f>
        <v>41174</v>
      </c>
      <c r="T44" s="591">
        <f>S44+5</f>
        <v>41179</v>
      </c>
      <c r="U44" s="591">
        <f>T44+120</f>
        <v>41299</v>
      </c>
      <c r="V44" s="592">
        <f>U44+10</f>
        <v>41309</v>
      </c>
      <c r="W44" s="216"/>
      <c r="X44" s="216"/>
      <c r="Y44" s="216"/>
      <c r="Z44" s="216"/>
    </row>
    <row r="45" spans="1:26" s="202" customFormat="1" ht="22.5" customHeight="1" x14ac:dyDescent="0.3">
      <c r="A45" s="766"/>
      <c r="B45" s="767"/>
      <c r="C45" s="767"/>
      <c r="D45" s="769"/>
      <c r="E45" s="767"/>
      <c r="F45" s="767"/>
      <c r="G45" s="767"/>
      <c r="H45" s="590" t="s">
        <v>44</v>
      </c>
      <c r="I45" s="593"/>
      <c r="J45" s="593"/>
      <c r="K45" s="593"/>
      <c r="L45" s="593"/>
      <c r="M45" s="593"/>
      <c r="N45" s="593"/>
      <c r="O45" s="593"/>
      <c r="P45" s="590" t="s">
        <v>44</v>
      </c>
      <c r="Q45" s="536"/>
      <c r="R45" s="593"/>
      <c r="S45" s="593"/>
      <c r="T45" s="593"/>
      <c r="U45" s="593"/>
      <c r="V45" s="599"/>
      <c r="W45" s="216"/>
      <c r="X45" s="216"/>
      <c r="Y45" s="216"/>
      <c r="Z45" s="216"/>
    </row>
    <row r="46" spans="1:26" s="202" customFormat="1" ht="12" customHeight="1" x14ac:dyDescent="0.3">
      <c r="A46" s="766"/>
      <c r="B46" s="767"/>
      <c r="C46" s="767"/>
      <c r="D46" s="770"/>
      <c r="E46" s="767"/>
      <c r="F46" s="767"/>
      <c r="G46" s="767"/>
      <c r="H46" s="595"/>
      <c r="I46" s="595"/>
      <c r="J46" s="595"/>
      <c r="K46" s="595"/>
      <c r="L46" s="595"/>
      <c r="M46" s="595"/>
      <c r="N46" s="595"/>
      <c r="O46" s="595"/>
      <c r="P46" s="595"/>
      <c r="Q46" s="596"/>
      <c r="R46" s="595"/>
      <c r="S46" s="595"/>
      <c r="T46" s="595"/>
      <c r="U46" s="595"/>
      <c r="V46" s="597"/>
      <c r="W46" s="216"/>
      <c r="X46" s="216"/>
      <c r="Y46" s="216"/>
      <c r="Z46" s="216"/>
    </row>
    <row r="47" spans="1:26" s="202" customFormat="1" ht="22.5" customHeight="1" x14ac:dyDescent="0.3">
      <c r="A47" s="766" t="s">
        <v>486</v>
      </c>
      <c r="B47" s="767" t="s">
        <v>487</v>
      </c>
      <c r="C47" s="767"/>
      <c r="D47" s="768">
        <f>2525011.26/S2</f>
        <v>145534.62901803467</v>
      </c>
      <c r="E47" s="767" t="s">
        <v>40</v>
      </c>
      <c r="F47" s="767" t="s">
        <v>94</v>
      </c>
      <c r="G47" s="767" t="s">
        <v>94</v>
      </c>
      <c r="H47" s="590" t="s">
        <v>43</v>
      </c>
      <c r="I47" s="600">
        <v>40548</v>
      </c>
      <c r="J47" s="591">
        <f>I47+5</f>
        <v>40553</v>
      </c>
      <c r="K47" s="591">
        <f>J47+7</f>
        <v>40560</v>
      </c>
      <c r="L47" s="591">
        <f>K47+7</f>
        <v>40567</v>
      </c>
      <c r="M47" s="591">
        <f>L47+45</f>
        <v>40612</v>
      </c>
      <c r="N47" s="591">
        <f>M47+10</f>
        <v>40622</v>
      </c>
      <c r="O47" s="591">
        <f>N47+10</f>
        <v>40632</v>
      </c>
      <c r="P47" s="590" t="s">
        <v>43</v>
      </c>
      <c r="Q47" s="536"/>
      <c r="R47" s="591">
        <f>O47+7</f>
        <v>40639</v>
      </c>
      <c r="S47" s="591">
        <f>R47+7</f>
        <v>40646</v>
      </c>
      <c r="T47" s="591">
        <f>S47+5</f>
        <v>40651</v>
      </c>
      <c r="U47" s="591">
        <f>T47+120</f>
        <v>40771</v>
      </c>
      <c r="V47" s="592">
        <f>U47+5</f>
        <v>40776</v>
      </c>
      <c r="W47" s="216"/>
      <c r="X47" s="216"/>
      <c r="Y47" s="216"/>
      <c r="Z47" s="216"/>
    </row>
    <row r="48" spans="1:26" s="202" customFormat="1" ht="22.5" customHeight="1" x14ac:dyDescent="0.3">
      <c r="A48" s="766"/>
      <c r="B48" s="767"/>
      <c r="C48" s="767"/>
      <c r="D48" s="769"/>
      <c r="E48" s="767"/>
      <c r="F48" s="767"/>
      <c r="G48" s="767"/>
      <c r="H48" s="590" t="s">
        <v>50</v>
      </c>
      <c r="I48" s="591">
        <v>41100</v>
      </c>
      <c r="J48" s="591">
        <f>I48+5</f>
        <v>41105</v>
      </c>
      <c r="K48" s="591">
        <f>J48+7</f>
        <v>41112</v>
      </c>
      <c r="L48" s="591">
        <f>K48+7</f>
        <v>41119</v>
      </c>
      <c r="M48" s="591">
        <f>L48+45</f>
        <v>41164</v>
      </c>
      <c r="N48" s="591">
        <f>M48+10</f>
        <v>41174</v>
      </c>
      <c r="O48" s="591">
        <f>N48+10</f>
        <v>41184</v>
      </c>
      <c r="P48" s="590" t="s">
        <v>50</v>
      </c>
      <c r="Q48" s="536"/>
      <c r="R48" s="591">
        <f>O48+7</f>
        <v>41191</v>
      </c>
      <c r="S48" s="591">
        <f>R48+7</f>
        <v>41198</v>
      </c>
      <c r="T48" s="591">
        <f>S48+5</f>
        <v>41203</v>
      </c>
      <c r="U48" s="591">
        <f>T48+120</f>
        <v>41323</v>
      </c>
      <c r="V48" s="592"/>
      <c r="W48" s="216"/>
      <c r="X48" s="216"/>
      <c r="Y48" s="216"/>
      <c r="Z48" s="216"/>
    </row>
    <row r="49" spans="1:26" s="202" customFormat="1" ht="22.5" customHeight="1" x14ac:dyDescent="0.3">
      <c r="A49" s="766"/>
      <c r="B49" s="767"/>
      <c r="C49" s="767"/>
      <c r="D49" s="769"/>
      <c r="E49" s="767"/>
      <c r="F49" s="767"/>
      <c r="G49" s="767"/>
      <c r="H49" s="590" t="s">
        <v>50</v>
      </c>
      <c r="I49" s="591"/>
      <c r="J49" s="591">
        <v>41075</v>
      </c>
      <c r="K49" s="591">
        <f>J49+15</f>
        <v>41090</v>
      </c>
      <c r="L49" s="591">
        <f>K49+7</f>
        <v>41097</v>
      </c>
      <c r="M49" s="591">
        <f>L49+30</f>
        <v>41127</v>
      </c>
      <c r="N49" s="591">
        <f>M49+20</f>
        <v>41147</v>
      </c>
      <c r="O49" s="591">
        <f>N49</f>
        <v>41147</v>
      </c>
      <c r="P49" s="590" t="s">
        <v>50</v>
      </c>
      <c r="Q49" s="536"/>
      <c r="R49" s="591">
        <f>O49+7</f>
        <v>41154</v>
      </c>
      <c r="S49" s="591">
        <f>R49+20</f>
        <v>41174</v>
      </c>
      <c r="T49" s="591">
        <f>S49+5</f>
        <v>41179</v>
      </c>
      <c r="U49" s="591">
        <f>T49+120</f>
        <v>41299</v>
      </c>
      <c r="V49" s="592">
        <f>U49+10</f>
        <v>41309</v>
      </c>
      <c r="W49" s="216"/>
      <c r="X49" s="216"/>
      <c r="Y49" s="216"/>
      <c r="Z49" s="216"/>
    </row>
    <row r="50" spans="1:26" s="202" customFormat="1" ht="22.5" customHeight="1" x14ac:dyDescent="0.3">
      <c r="A50" s="766"/>
      <c r="B50" s="767"/>
      <c r="C50" s="767"/>
      <c r="D50" s="769"/>
      <c r="E50" s="767"/>
      <c r="F50" s="767"/>
      <c r="G50" s="767"/>
      <c r="H50" s="590" t="s">
        <v>44</v>
      </c>
      <c r="I50" s="593"/>
      <c r="J50" s="593"/>
      <c r="K50" s="593"/>
      <c r="L50" s="593"/>
      <c r="M50" s="593"/>
      <c r="N50" s="593"/>
      <c r="O50" s="593"/>
      <c r="P50" s="590" t="s">
        <v>44</v>
      </c>
      <c r="Q50" s="536"/>
      <c r="R50" s="593"/>
      <c r="S50" s="593"/>
      <c r="T50" s="593"/>
      <c r="U50" s="593"/>
      <c r="V50" s="599"/>
      <c r="W50" s="216"/>
      <c r="X50" s="216"/>
      <c r="Y50" s="216"/>
      <c r="Z50" s="216"/>
    </row>
    <row r="51" spans="1:26" s="202" customFormat="1" ht="15.75" customHeight="1" x14ac:dyDescent="0.3">
      <c r="A51" s="766"/>
      <c r="B51" s="767"/>
      <c r="C51" s="767"/>
      <c r="D51" s="770"/>
      <c r="E51" s="767"/>
      <c r="F51" s="767"/>
      <c r="G51" s="767"/>
      <c r="H51" s="595"/>
      <c r="I51" s="595"/>
      <c r="J51" s="595"/>
      <c r="K51" s="595"/>
      <c r="L51" s="595"/>
      <c r="M51" s="595"/>
      <c r="N51" s="595"/>
      <c r="O51" s="595"/>
      <c r="P51" s="595"/>
      <c r="Q51" s="596"/>
      <c r="R51" s="595"/>
      <c r="S51" s="595"/>
      <c r="T51" s="595"/>
      <c r="U51" s="595"/>
      <c r="V51" s="597"/>
      <c r="W51" s="216"/>
      <c r="X51" s="216"/>
      <c r="Y51" s="216"/>
      <c r="Z51" s="216"/>
    </row>
    <row r="52" spans="1:26" x14ac:dyDescent="0.3">
      <c r="A52" s="757" t="s">
        <v>805</v>
      </c>
      <c r="B52" s="758" t="s">
        <v>786</v>
      </c>
      <c r="C52" s="754"/>
      <c r="D52" s="776">
        <v>1978.28</v>
      </c>
      <c r="E52" s="751" t="s">
        <v>784</v>
      </c>
      <c r="F52" s="751" t="s">
        <v>94</v>
      </c>
      <c r="G52" s="751" t="s">
        <v>94</v>
      </c>
      <c r="H52" s="504" t="s">
        <v>43</v>
      </c>
      <c r="I52" s="508">
        <v>40269</v>
      </c>
      <c r="J52" s="508" t="s">
        <v>785</v>
      </c>
      <c r="K52" s="508" t="s">
        <v>744</v>
      </c>
      <c r="L52" s="508">
        <v>40313</v>
      </c>
      <c r="M52" s="508" t="s">
        <v>744</v>
      </c>
      <c r="N52" s="508">
        <v>40323</v>
      </c>
      <c r="O52" s="508" t="s">
        <v>744</v>
      </c>
      <c r="P52" s="504" t="s">
        <v>43</v>
      </c>
      <c r="Q52" s="536"/>
      <c r="R52" s="508">
        <v>40340</v>
      </c>
      <c r="S52" s="508">
        <v>40341</v>
      </c>
      <c r="T52" s="508" t="s">
        <v>785</v>
      </c>
      <c r="U52" s="508">
        <f>S52+7</f>
        <v>40348</v>
      </c>
      <c r="V52" s="509">
        <f>U52+2</f>
        <v>40350</v>
      </c>
    </row>
    <row r="53" spans="1:26" x14ac:dyDescent="0.3">
      <c r="A53" s="757"/>
      <c r="B53" s="758"/>
      <c r="C53" s="755"/>
      <c r="D53" s="777"/>
      <c r="E53" s="752"/>
      <c r="F53" s="752"/>
      <c r="G53" s="752"/>
      <c r="H53" s="504" t="s">
        <v>44</v>
      </c>
      <c r="I53" s="510"/>
      <c r="J53" s="510"/>
      <c r="K53" s="510"/>
      <c r="L53" s="510"/>
      <c r="M53" s="510"/>
      <c r="N53" s="510"/>
      <c r="O53" s="510" t="s">
        <v>787</v>
      </c>
      <c r="P53" s="504" t="s">
        <v>44</v>
      </c>
      <c r="Q53" s="536">
        <v>1978.28</v>
      </c>
      <c r="R53" s="510"/>
      <c r="S53" s="510"/>
      <c r="T53" s="510"/>
      <c r="U53" s="510"/>
      <c r="V53" s="511"/>
    </row>
    <row r="54" spans="1:26" x14ac:dyDescent="0.3">
      <c r="A54" s="757"/>
      <c r="B54" s="758"/>
      <c r="C54" s="775"/>
      <c r="D54" s="778"/>
      <c r="E54" s="779"/>
      <c r="F54" s="779"/>
      <c r="G54" s="779"/>
      <c r="H54" s="595"/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5"/>
      <c r="U54" s="595"/>
      <c r="V54" s="595"/>
    </row>
    <row r="55" spans="1:26" x14ac:dyDescent="0.3">
      <c r="A55" s="757" t="s">
        <v>793</v>
      </c>
      <c r="B55" s="758" t="s">
        <v>788</v>
      </c>
      <c r="C55" s="754"/>
      <c r="D55" s="776">
        <v>3458.23</v>
      </c>
      <c r="E55" s="751" t="s">
        <v>784</v>
      </c>
      <c r="F55" s="751" t="s">
        <v>94</v>
      </c>
      <c r="G55" s="751" t="s">
        <v>94</v>
      </c>
      <c r="H55" s="504" t="s">
        <v>43</v>
      </c>
      <c r="I55" s="508">
        <v>40468</v>
      </c>
      <c r="J55" s="508" t="s">
        <v>785</v>
      </c>
      <c r="K55" s="508" t="s">
        <v>744</v>
      </c>
      <c r="L55" s="508">
        <f>I55+15</f>
        <v>40483</v>
      </c>
      <c r="M55" s="508" t="s">
        <v>744</v>
      </c>
      <c r="N55" s="508">
        <f>L55+10</f>
        <v>40493</v>
      </c>
      <c r="O55" s="508" t="s">
        <v>744</v>
      </c>
      <c r="P55" s="504" t="s">
        <v>43</v>
      </c>
      <c r="Q55" s="536"/>
      <c r="R55" s="508">
        <f>N55+10</f>
        <v>40503</v>
      </c>
      <c r="S55" s="508">
        <f>R55+5</f>
        <v>40508</v>
      </c>
      <c r="T55" s="508" t="s">
        <v>785</v>
      </c>
      <c r="U55" s="508">
        <f>S55+15</f>
        <v>40523</v>
      </c>
      <c r="V55" s="509">
        <f>U55+2</f>
        <v>40525</v>
      </c>
    </row>
    <row r="56" spans="1:26" x14ac:dyDescent="0.3">
      <c r="A56" s="757"/>
      <c r="B56" s="758"/>
      <c r="C56" s="755"/>
      <c r="D56" s="777"/>
      <c r="E56" s="752"/>
      <c r="F56" s="752"/>
      <c r="G56" s="752"/>
      <c r="H56" s="504" t="s">
        <v>44</v>
      </c>
      <c r="I56" s="510"/>
      <c r="J56" s="510"/>
      <c r="K56" s="510"/>
      <c r="L56" s="510"/>
      <c r="M56" s="510"/>
      <c r="N56" s="510"/>
      <c r="O56" s="510"/>
      <c r="P56" s="504" t="s">
        <v>44</v>
      </c>
      <c r="Q56" s="536">
        <v>3458.23</v>
      </c>
      <c r="R56" s="510"/>
      <c r="S56" s="510"/>
      <c r="T56" s="510"/>
      <c r="U56" s="510"/>
      <c r="V56" s="511"/>
    </row>
    <row r="57" spans="1:26" x14ac:dyDescent="0.3">
      <c r="A57" s="757"/>
      <c r="B57" s="758"/>
      <c r="C57" s="775"/>
      <c r="D57" s="778"/>
      <c r="E57" s="779"/>
      <c r="F57" s="779"/>
      <c r="G57" s="779"/>
      <c r="H57" s="595"/>
      <c r="I57" s="595"/>
      <c r="J57" s="595"/>
      <c r="K57" s="595"/>
      <c r="L57" s="595"/>
      <c r="M57" s="595"/>
      <c r="N57" s="595"/>
      <c r="O57" s="595"/>
      <c r="P57" s="595"/>
      <c r="Q57" s="595"/>
      <c r="R57" s="595"/>
      <c r="S57" s="595"/>
      <c r="T57" s="595"/>
      <c r="U57" s="595"/>
      <c r="V57" s="595"/>
    </row>
    <row r="58" spans="1:26" x14ac:dyDescent="0.3">
      <c r="A58" s="757" t="s">
        <v>794</v>
      </c>
      <c r="B58" s="758" t="s">
        <v>789</v>
      </c>
      <c r="C58" s="754"/>
      <c r="D58" s="776">
        <v>2469935.21</v>
      </c>
      <c r="E58" s="751" t="s">
        <v>463</v>
      </c>
      <c r="F58" s="751" t="s">
        <v>94</v>
      </c>
      <c r="G58" s="751" t="s">
        <v>464</v>
      </c>
      <c r="H58" s="504" t="s">
        <v>43</v>
      </c>
      <c r="I58" s="508">
        <v>40466</v>
      </c>
      <c r="J58" s="508">
        <f>I58+10</f>
        <v>40476</v>
      </c>
      <c r="K58" s="508">
        <f>J58+7</f>
        <v>40483</v>
      </c>
      <c r="L58" s="508">
        <f>K58+7</f>
        <v>40490</v>
      </c>
      <c r="M58" s="508">
        <f>L58+45</f>
        <v>40535</v>
      </c>
      <c r="N58" s="508">
        <f>M58+15</f>
        <v>40550</v>
      </c>
      <c r="O58" s="508">
        <f>N58+10</f>
        <v>40560</v>
      </c>
      <c r="P58" s="504" t="s">
        <v>43</v>
      </c>
      <c r="Q58" s="536"/>
      <c r="R58" s="508">
        <f>O58+7</f>
        <v>40567</v>
      </c>
      <c r="S58" s="508">
        <f>R58+15</f>
        <v>40582</v>
      </c>
      <c r="T58" s="508">
        <f>S58+30</f>
        <v>40612</v>
      </c>
      <c r="U58" s="508">
        <f>T58+120</f>
        <v>40732</v>
      </c>
      <c r="V58" s="509">
        <f>U58+5</f>
        <v>40737</v>
      </c>
    </row>
    <row r="59" spans="1:26" ht="26.4" x14ac:dyDescent="0.3">
      <c r="A59" s="757"/>
      <c r="B59" s="758"/>
      <c r="C59" s="755"/>
      <c r="D59" s="777"/>
      <c r="E59" s="752"/>
      <c r="F59" s="752"/>
      <c r="G59" s="752"/>
      <c r="H59" s="504" t="s">
        <v>226</v>
      </c>
      <c r="I59" s="508"/>
      <c r="J59" s="508"/>
      <c r="K59" s="508"/>
      <c r="L59" s="508"/>
      <c r="M59" s="508">
        <v>40910</v>
      </c>
      <c r="N59" s="508">
        <f>M59+10</f>
        <v>40920</v>
      </c>
      <c r="O59" s="508">
        <f>N59+7</f>
        <v>40927</v>
      </c>
      <c r="P59" s="504" t="s">
        <v>226</v>
      </c>
      <c r="Q59" s="536"/>
      <c r="R59" s="508">
        <f>O59+7</f>
        <v>40934</v>
      </c>
      <c r="S59" s="508">
        <f>R59+15</f>
        <v>40949</v>
      </c>
      <c r="T59" s="508">
        <f>S59+15</f>
        <v>40964</v>
      </c>
      <c r="U59" s="508">
        <f>T59+90</f>
        <v>41054</v>
      </c>
      <c r="V59" s="509">
        <f>U59+5</f>
        <v>41059</v>
      </c>
    </row>
    <row r="60" spans="1:26" x14ac:dyDescent="0.3">
      <c r="A60" s="757"/>
      <c r="B60" s="758"/>
      <c r="C60" s="755"/>
      <c r="D60" s="777"/>
      <c r="E60" s="752"/>
      <c r="F60" s="752"/>
      <c r="G60" s="752"/>
      <c r="H60" s="504" t="s">
        <v>44</v>
      </c>
      <c r="I60" s="510"/>
      <c r="J60" s="510"/>
      <c r="K60" s="510"/>
      <c r="L60" s="537"/>
      <c r="M60" s="510" t="s">
        <v>790</v>
      </c>
      <c r="N60" s="510" t="s">
        <v>791</v>
      </c>
      <c r="O60" s="510" t="s">
        <v>662</v>
      </c>
      <c r="P60" s="504" t="s">
        <v>44</v>
      </c>
      <c r="Q60" s="536">
        <v>4346160.38</v>
      </c>
      <c r="R60" s="510"/>
      <c r="S60" s="510"/>
      <c r="T60" s="510"/>
      <c r="U60" s="510"/>
      <c r="V60" s="511"/>
    </row>
    <row r="61" spans="1:26" x14ac:dyDescent="0.3">
      <c r="A61" s="757"/>
      <c r="B61" s="758"/>
      <c r="C61" s="775"/>
      <c r="D61" s="778"/>
      <c r="E61" s="779"/>
      <c r="F61" s="779"/>
      <c r="G61" s="779"/>
      <c r="H61" s="595"/>
      <c r="I61" s="595"/>
      <c r="J61" s="595"/>
      <c r="K61" s="595"/>
      <c r="L61" s="595"/>
      <c r="M61" s="595"/>
      <c r="N61" s="595"/>
      <c r="O61" s="595"/>
      <c r="P61" s="595"/>
      <c r="Q61" s="595"/>
      <c r="R61" s="595"/>
      <c r="S61" s="595"/>
      <c r="T61" s="595"/>
      <c r="U61" s="595"/>
      <c r="V61" s="595"/>
    </row>
    <row r="62" spans="1:26" x14ac:dyDescent="0.3">
      <c r="A62" s="757" t="s">
        <v>795</v>
      </c>
      <c r="B62" s="758" t="s">
        <v>792</v>
      </c>
      <c r="C62" s="754"/>
      <c r="D62" s="780">
        <v>841156.8</v>
      </c>
      <c r="E62" s="754" t="s">
        <v>463</v>
      </c>
      <c r="F62" s="751" t="s">
        <v>94</v>
      </c>
      <c r="G62" s="754" t="s">
        <v>464</v>
      </c>
      <c r="H62" s="504" t="s">
        <v>43</v>
      </c>
      <c r="I62" s="512">
        <v>40548</v>
      </c>
      <c r="J62" s="512">
        <f>I62+10</f>
        <v>40558</v>
      </c>
      <c r="K62" s="512">
        <f>J62+10</f>
        <v>40568</v>
      </c>
      <c r="L62" s="512">
        <f>K62+7</f>
        <v>40575</v>
      </c>
      <c r="M62" s="512">
        <f>L62+50</f>
        <v>40625</v>
      </c>
      <c r="N62" s="512">
        <f>M62+10</f>
        <v>40635</v>
      </c>
      <c r="O62" s="512">
        <f>N62+10</f>
        <v>40645</v>
      </c>
      <c r="P62" s="504" t="s">
        <v>43</v>
      </c>
      <c r="Q62" s="536"/>
      <c r="R62" s="508">
        <f>O62+7</f>
        <v>40652</v>
      </c>
      <c r="S62" s="508">
        <f>R62+15</f>
        <v>40667</v>
      </c>
      <c r="T62" s="508">
        <f>S62+30</f>
        <v>40697</v>
      </c>
      <c r="U62" s="508">
        <f>T62+180</f>
        <v>40877</v>
      </c>
      <c r="V62" s="509">
        <f>U62+5</f>
        <v>40882</v>
      </c>
    </row>
    <row r="63" spans="1:26" ht="26.4" x14ac:dyDescent="0.3">
      <c r="A63" s="757"/>
      <c r="B63" s="758"/>
      <c r="C63" s="755"/>
      <c r="D63" s="781"/>
      <c r="E63" s="755"/>
      <c r="F63" s="752"/>
      <c r="G63" s="755"/>
      <c r="H63" s="504" t="s">
        <v>226</v>
      </c>
      <c r="I63" s="512">
        <f>J63-10</f>
        <v>40997</v>
      </c>
      <c r="J63" s="512">
        <f>K63-10</f>
        <v>41007</v>
      </c>
      <c r="K63" s="512">
        <f>L63-7</f>
        <v>41017</v>
      </c>
      <c r="L63" s="512">
        <f>M63-50</f>
        <v>41024</v>
      </c>
      <c r="M63" s="512">
        <f>N63-10</f>
        <v>41074</v>
      </c>
      <c r="N63" s="512">
        <f>O63-10</f>
        <v>41084</v>
      </c>
      <c r="O63" s="512">
        <f>R63-7</f>
        <v>41094</v>
      </c>
      <c r="P63" s="504" t="s">
        <v>226</v>
      </c>
      <c r="Q63" s="536"/>
      <c r="R63" s="508">
        <f>S63-15</f>
        <v>41101</v>
      </c>
      <c r="S63" s="508">
        <f>T63-30</f>
        <v>41116</v>
      </c>
      <c r="T63" s="508">
        <f>U63-120</f>
        <v>41146</v>
      </c>
      <c r="U63" s="508">
        <f>V63-5</f>
        <v>41266</v>
      </c>
      <c r="V63" s="513">
        <v>41271</v>
      </c>
    </row>
    <row r="64" spans="1:26" x14ac:dyDescent="0.3">
      <c r="A64" s="757"/>
      <c r="B64" s="758"/>
      <c r="C64" s="755"/>
      <c r="D64" s="781"/>
      <c r="E64" s="755"/>
      <c r="F64" s="752"/>
      <c r="G64" s="755"/>
      <c r="H64" s="504" t="s">
        <v>44</v>
      </c>
      <c r="I64" s="510"/>
      <c r="J64" s="510"/>
      <c r="K64" s="510"/>
      <c r="L64" s="510"/>
      <c r="M64" s="510"/>
      <c r="N64" s="510"/>
      <c r="O64" s="510"/>
      <c r="P64" s="504" t="s">
        <v>44</v>
      </c>
      <c r="Q64" s="536"/>
      <c r="R64" s="510"/>
      <c r="S64" s="510"/>
      <c r="T64" s="510"/>
      <c r="U64" s="510"/>
      <c r="V64" s="511"/>
    </row>
    <row r="65" spans="1:22" ht="15" thickBot="1" x14ac:dyDescent="0.35">
      <c r="A65" s="757"/>
      <c r="B65" s="759"/>
      <c r="C65" s="756"/>
      <c r="D65" s="782"/>
      <c r="E65" s="756"/>
      <c r="F65" s="753"/>
      <c r="G65" s="756"/>
      <c r="H65" s="595"/>
      <c r="I65" s="595"/>
      <c r="J65" s="595"/>
      <c r="K65" s="595"/>
      <c r="L65" s="595"/>
      <c r="M65" s="595"/>
      <c r="N65" s="595"/>
      <c r="O65" s="595"/>
      <c r="P65" s="595"/>
      <c r="Q65" s="595"/>
      <c r="R65" s="595"/>
      <c r="S65" s="595"/>
      <c r="T65" s="595"/>
      <c r="U65" s="595"/>
      <c r="V65" s="595"/>
    </row>
    <row r="66" spans="1:22" ht="15" thickTop="1" x14ac:dyDescent="0.3">
      <c r="A66" s="774" t="s">
        <v>488</v>
      </c>
      <c r="B66" s="774"/>
      <c r="C66" s="774"/>
      <c r="D66" s="535">
        <f>SUM(D10:D65)</f>
        <v>11019674.352540821</v>
      </c>
      <c r="E66" s="507"/>
      <c r="F66" s="507"/>
      <c r="G66" s="507"/>
      <c r="H66" s="601"/>
      <c r="I66" s="601"/>
      <c r="J66" s="601"/>
      <c r="K66" s="601"/>
      <c r="L66" s="601"/>
      <c r="M66" s="601"/>
      <c r="N66" s="601"/>
      <c r="O66" s="601"/>
      <c r="P66" s="601"/>
      <c r="Q66" s="602">
        <f>SUM(Q10:Q64)</f>
        <v>7766345.2144506881</v>
      </c>
      <c r="R66" s="601"/>
      <c r="S66" s="601"/>
      <c r="T66" s="601"/>
      <c r="U66" s="601"/>
      <c r="V66" s="601"/>
    </row>
    <row r="67" spans="1:22" x14ac:dyDescent="0.3">
      <c r="A67" s="457"/>
      <c r="B67" s="457"/>
      <c r="C67" s="507"/>
      <c r="D67" s="507"/>
      <c r="E67" s="507"/>
      <c r="F67" s="507"/>
      <c r="G67" s="507"/>
      <c r="H67" s="601"/>
      <c r="I67" s="601"/>
      <c r="J67" s="601"/>
      <c r="K67" s="601"/>
      <c r="L67" s="601"/>
      <c r="M67" s="601"/>
      <c r="N67" s="601"/>
      <c r="O67" s="601"/>
      <c r="P67" s="601"/>
      <c r="Q67" s="601"/>
      <c r="R67" s="601"/>
      <c r="S67" s="601"/>
      <c r="T67" s="601"/>
      <c r="U67" s="601"/>
      <c r="V67" s="601"/>
    </row>
    <row r="68" spans="1:22" x14ac:dyDescent="0.3">
      <c r="H68" s="603"/>
      <c r="I68" s="603"/>
      <c r="J68" s="603"/>
      <c r="K68" s="603"/>
      <c r="L68" s="603"/>
      <c r="M68" s="603"/>
      <c r="N68" s="603"/>
      <c r="O68" s="603"/>
      <c r="P68" s="603"/>
      <c r="Q68" s="603"/>
      <c r="R68" s="603"/>
      <c r="S68" s="603"/>
      <c r="T68" s="603"/>
      <c r="U68" s="603"/>
      <c r="V68" s="603"/>
    </row>
  </sheetData>
  <mergeCells count="105">
    <mergeCell ref="A66:C66"/>
    <mergeCell ref="C52:C54"/>
    <mergeCell ref="D52:D54"/>
    <mergeCell ref="E52:E54"/>
    <mergeCell ref="F52:F54"/>
    <mergeCell ref="G52:G54"/>
    <mergeCell ref="C55:C57"/>
    <mergeCell ref="D55:D57"/>
    <mergeCell ref="E55:E57"/>
    <mergeCell ref="F55:F57"/>
    <mergeCell ref="G55:G57"/>
    <mergeCell ref="C58:C61"/>
    <mergeCell ref="D58:D61"/>
    <mergeCell ref="E58:E61"/>
    <mergeCell ref="F58:F61"/>
    <mergeCell ref="G58:G61"/>
    <mergeCell ref="C62:C65"/>
    <mergeCell ref="D62:D65"/>
    <mergeCell ref="E62:E65"/>
    <mergeCell ref="F22:F26"/>
    <mergeCell ref="G22:G26"/>
    <mergeCell ref="E27:E31"/>
    <mergeCell ref="F10:F13"/>
    <mergeCell ref="G10:G13"/>
    <mergeCell ref="C14:C17"/>
    <mergeCell ref="D14:D17"/>
    <mergeCell ref="E14:E17"/>
    <mergeCell ref="F14:F17"/>
    <mergeCell ref="G14:G17"/>
    <mergeCell ref="D10:D13"/>
    <mergeCell ref="C10:C13"/>
    <mergeCell ref="E10:E13"/>
    <mergeCell ref="C18:C21"/>
    <mergeCell ref="D18:D21"/>
    <mergeCell ref="E18:E21"/>
    <mergeCell ref="F18:F21"/>
    <mergeCell ref="G18:G21"/>
    <mergeCell ref="G27:G31"/>
    <mergeCell ref="E22:E26"/>
    <mergeCell ref="G47:G51"/>
    <mergeCell ref="D47:D51"/>
    <mergeCell ref="D42:D46"/>
    <mergeCell ref="E42:E46"/>
    <mergeCell ref="F42:F46"/>
    <mergeCell ref="G42:G46"/>
    <mergeCell ref="F37:F41"/>
    <mergeCell ref="G37:G41"/>
    <mergeCell ref="D32:D36"/>
    <mergeCell ref="E32:E36"/>
    <mergeCell ref="F32:F36"/>
    <mergeCell ref="G32:G36"/>
    <mergeCell ref="E37:E41"/>
    <mergeCell ref="A47:A51"/>
    <mergeCell ref="B47:B51"/>
    <mergeCell ref="A42:A46"/>
    <mergeCell ref="B42:B46"/>
    <mergeCell ref="C47:C51"/>
    <mergeCell ref="C42:C46"/>
    <mergeCell ref="E47:E51"/>
    <mergeCell ref="F47:F51"/>
    <mergeCell ref="D27:D31"/>
    <mergeCell ref="C27:C31"/>
    <mergeCell ref="F27:F31"/>
    <mergeCell ref="A37:A41"/>
    <mergeCell ref="B37:B41"/>
    <mergeCell ref="A32:A36"/>
    <mergeCell ref="B32:B36"/>
    <mergeCell ref="D37:D41"/>
    <mergeCell ref="C32:C36"/>
    <mergeCell ref="C37:C41"/>
    <mergeCell ref="A18:A21"/>
    <mergeCell ref="B18:B21"/>
    <mergeCell ref="D22:D26"/>
    <mergeCell ref="A14:A17"/>
    <mergeCell ref="B14:B17"/>
    <mergeCell ref="A10:A13"/>
    <mergeCell ref="B10:B13"/>
    <mergeCell ref="A27:A31"/>
    <mergeCell ref="B27:B31"/>
    <mergeCell ref="A22:A26"/>
    <mergeCell ref="B22:B26"/>
    <mergeCell ref="C22:C26"/>
    <mergeCell ref="A1:V1"/>
    <mergeCell ref="B2:H2"/>
    <mergeCell ref="B3:H3"/>
    <mergeCell ref="B4:H4"/>
    <mergeCell ref="A5:A8"/>
    <mergeCell ref="B5:H7"/>
    <mergeCell ref="I5:J7"/>
    <mergeCell ref="K5:S5"/>
    <mergeCell ref="T5:V7"/>
    <mergeCell ref="K6:K7"/>
    <mergeCell ref="L6:M7"/>
    <mergeCell ref="N6:O7"/>
    <mergeCell ref="P6:S7"/>
    <mergeCell ref="F62:F65"/>
    <mergeCell ref="G62:G65"/>
    <mergeCell ref="A52:A54"/>
    <mergeCell ref="B52:B54"/>
    <mergeCell ref="A62:A65"/>
    <mergeCell ref="B62:B65"/>
    <mergeCell ref="A58:A61"/>
    <mergeCell ref="B58:B61"/>
    <mergeCell ref="A55:A57"/>
    <mergeCell ref="B55:B57"/>
  </mergeCells>
  <pageMargins left="0.7" right="0.7" top="0.75" bottom="0.75" header="0.3" footer="0.3"/>
  <pageSetup scale="48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zoomScale="80" zoomScaleNormal="80" workbookViewId="0">
      <pane xSplit="5" ySplit="8" topLeftCell="F57" activePane="bottomRight" state="frozen"/>
      <selection pane="topRight" activeCell="F1" sqref="F1"/>
      <selection pane="bottomLeft" activeCell="A9" sqref="A9"/>
      <selection pane="bottomRight" activeCell="A68" sqref="A68:A71"/>
    </sheetView>
  </sheetViews>
  <sheetFormatPr defaultRowHeight="14.4" x14ac:dyDescent="0.3"/>
  <cols>
    <col min="1" max="1" width="23" customWidth="1"/>
    <col min="2" max="2" width="11" customWidth="1"/>
    <col min="3" max="3" width="6.88671875" customWidth="1"/>
    <col min="4" max="4" width="7.5546875" customWidth="1"/>
    <col min="5" max="5" width="7.33203125" customWidth="1"/>
    <col min="6" max="6" width="14.6640625" customWidth="1"/>
    <col min="7" max="7" width="7.109375" customWidth="1"/>
    <col min="8" max="8" width="7.44140625" customWidth="1"/>
    <col min="10" max="10" width="10.5546875" bestFit="1" customWidth="1"/>
    <col min="11" max="11" width="11.109375" bestFit="1" customWidth="1"/>
    <col min="12" max="12" width="10" bestFit="1" customWidth="1"/>
    <col min="13" max="14" width="10.5546875" bestFit="1" customWidth="1"/>
    <col min="15" max="15" width="10.5546875" customWidth="1"/>
    <col min="16" max="16" width="11.109375" bestFit="1" customWidth="1"/>
    <col min="18" max="18" width="15.109375" bestFit="1" customWidth="1"/>
    <col min="19" max="19" width="10.5546875" bestFit="1" customWidth="1"/>
    <col min="20" max="20" width="10.6640625" customWidth="1"/>
    <col min="21" max="21" width="10.5546875" customWidth="1"/>
    <col min="22" max="22" width="10.33203125" customWidth="1"/>
    <col min="23" max="23" width="12.109375" customWidth="1"/>
    <col min="24" max="24" width="14.6640625" customWidth="1"/>
    <col min="257" max="257" width="23" customWidth="1"/>
    <col min="258" max="258" width="11" customWidth="1"/>
    <col min="259" max="259" width="6.88671875" customWidth="1"/>
    <col min="260" max="260" width="7.5546875" customWidth="1"/>
    <col min="261" max="261" width="7.33203125" customWidth="1"/>
    <col min="262" max="262" width="14.6640625" customWidth="1"/>
    <col min="263" max="263" width="7.109375" customWidth="1"/>
    <col min="264" max="264" width="7.44140625" customWidth="1"/>
    <col min="266" max="266" width="10.5546875" bestFit="1" customWidth="1"/>
    <col min="267" max="267" width="11.109375" bestFit="1" customWidth="1"/>
    <col min="268" max="268" width="10" bestFit="1" customWidth="1"/>
    <col min="269" max="270" width="10.5546875" bestFit="1" customWidth="1"/>
    <col min="271" max="271" width="10.5546875" customWidth="1"/>
    <col min="272" max="272" width="11.109375" bestFit="1" customWidth="1"/>
    <col min="274" max="274" width="14.88671875" bestFit="1" customWidth="1"/>
    <col min="275" max="275" width="10.5546875" bestFit="1" customWidth="1"/>
    <col min="276" max="276" width="10.6640625" customWidth="1"/>
    <col min="277" max="277" width="10.5546875" customWidth="1"/>
    <col min="278" max="278" width="10.33203125" customWidth="1"/>
    <col min="279" max="279" width="12.109375" customWidth="1"/>
    <col min="280" max="280" width="14.6640625" customWidth="1"/>
    <col min="513" max="513" width="23" customWidth="1"/>
    <col min="514" max="514" width="11" customWidth="1"/>
    <col min="515" max="515" width="6.88671875" customWidth="1"/>
    <col min="516" max="516" width="7.5546875" customWidth="1"/>
    <col min="517" max="517" width="7.33203125" customWidth="1"/>
    <col min="518" max="518" width="14.6640625" customWidth="1"/>
    <col min="519" max="519" width="7.109375" customWidth="1"/>
    <col min="520" max="520" width="7.44140625" customWidth="1"/>
    <col min="522" max="522" width="10.5546875" bestFit="1" customWidth="1"/>
    <col min="523" max="523" width="11.109375" bestFit="1" customWidth="1"/>
    <col min="524" max="524" width="10" bestFit="1" customWidth="1"/>
    <col min="525" max="526" width="10.5546875" bestFit="1" customWidth="1"/>
    <col min="527" max="527" width="10.5546875" customWidth="1"/>
    <col min="528" max="528" width="11.109375" bestFit="1" customWidth="1"/>
    <col min="530" max="530" width="14.88671875" bestFit="1" customWidth="1"/>
    <col min="531" max="531" width="10.5546875" bestFit="1" customWidth="1"/>
    <col min="532" max="532" width="10.6640625" customWidth="1"/>
    <col min="533" max="533" width="10.5546875" customWidth="1"/>
    <col min="534" max="534" width="10.33203125" customWidth="1"/>
    <col min="535" max="535" width="12.109375" customWidth="1"/>
    <col min="536" max="536" width="14.6640625" customWidth="1"/>
    <col min="769" max="769" width="23" customWidth="1"/>
    <col min="770" max="770" width="11" customWidth="1"/>
    <col min="771" max="771" width="6.88671875" customWidth="1"/>
    <col min="772" max="772" width="7.5546875" customWidth="1"/>
    <col min="773" max="773" width="7.33203125" customWidth="1"/>
    <col min="774" max="774" width="14.6640625" customWidth="1"/>
    <col min="775" max="775" width="7.109375" customWidth="1"/>
    <col min="776" max="776" width="7.44140625" customWidth="1"/>
    <col min="778" max="778" width="10.5546875" bestFit="1" customWidth="1"/>
    <col min="779" max="779" width="11.109375" bestFit="1" customWidth="1"/>
    <col min="780" max="780" width="10" bestFit="1" customWidth="1"/>
    <col min="781" max="782" width="10.5546875" bestFit="1" customWidth="1"/>
    <col min="783" max="783" width="10.5546875" customWidth="1"/>
    <col min="784" max="784" width="11.109375" bestFit="1" customWidth="1"/>
    <col min="786" max="786" width="14.88671875" bestFit="1" customWidth="1"/>
    <col min="787" max="787" width="10.5546875" bestFit="1" customWidth="1"/>
    <col min="788" max="788" width="10.6640625" customWidth="1"/>
    <col min="789" max="789" width="10.5546875" customWidth="1"/>
    <col min="790" max="790" width="10.33203125" customWidth="1"/>
    <col min="791" max="791" width="12.109375" customWidth="1"/>
    <col min="792" max="792" width="14.6640625" customWidth="1"/>
    <col min="1025" max="1025" width="23" customWidth="1"/>
    <col min="1026" max="1026" width="11" customWidth="1"/>
    <col min="1027" max="1027" width="6.88671875" customWidth="1"/>
    <col min="1028" max="1028" width="7.5546875" customWidth="1"/>
    <col min="1029" max="1029" width="7.33203125" customWidth="1"/>
    <col min="1030" max="1030" width="14.6640625" customWidth="1"/>
    <col min="1031" max="1031" width="7.109375" customWidth="1"/>
    <col min="1032" max="1032" width="7.44140625" customWidth="1"/>
    <col min="1034" max="1034" width="10.5546875" bestFit="1" customWidth="1"/>
    <col min="1035" max="1035" width="11.109375" bestFit="1" customWidth="1"/>
    <col min="1036" max="1036" width="10" bestFit="1" customWidth="1"/>
    <col min="1037" max="1038" width="10.5546875" bestFit="1" customWidth="1"/>
    <col min="1039" max="1039" width="10.5546875" customWidth="1"/>
    <col min="1040" max="1040" width="11.109375" bestFit="1" customWidth="1"/>
    <col min="1042" max="1042" width="14.88671875" bestFit="1" customWidth="1"/>
    <col min="1043" max="1043" width="10.5546875" bestFit="1" customWidth="1"/>
    <col min="1044" max="1044" width="10.6640625" customWidth="1"/>
    <col min="1045" max="1045" width="10.5546875" customWidth="1"/>
    <col min="1046" max="1046" width="10.33203125" customWidth="1"/>
    <col min="1047" max="1047" width="12.109375" customWidth="1"/>
    <col min="1048" max="1048" width="14.6640625" customWidth="1"/>
    <col min="1281" max="1281" width="23" customWidth="1"/>
    <col min="1282" max="1282" width="11" customWidth="1"/>
    <col min="1283" max="1283" width="6.88671875" customWidth="1"/>
    <col min="1284" max="1284" width="7.5546875" customWidth="1"/>
    <col min="1285" max="1285" width="7.33203125" customWidth="1"/>
    <col min="1286" max="1286" width="14.6640625" customWidth="1"/>
    <col min="1287" max="1287" width="7.109375" customWidth="1"/>
    <col min="1288" max="1288" width="7.44140625" customWidth="1"/>
    <col min="1290" max="1290" width="10.5546875" bestFit="1" customWidth="1"/>
    <col min="1291" max="1291" width="11.109375" bestFit="1" customWidth="1"/>
    <col min="1292" max="1292" width="10" bestFit="1" customWidth="1"/>
    <col min="1293" max="1294" width="10.5546875" bestFit="1" customWidth="1"/>
    <col min="1295" max="1295" width="10.5546875" customWidth="1"/>
    <col min="1296" max="1296" width="11.109375" bestFit="1" customWidth="1"/>
    <col min="1298" max="1298" width="14.88671875" bestFit="1" customWidth="1"/>
    <col min="1299" max="1299" width="10.5546875" bestFit="1" customWidth="1"/>
    <col min="1300" max="1300" width="10.6640625" customWidth="1"/>
    <col min="1301" max="1301" width="10.5546875" customWidth="1"/>
    <col min="1302" max="1302" width="10.33203125" customWidth="1"/>
    <col min="1303" max="1303" width="12.109375" customWidth="1"/>
    <col min="1304" max="1304" width="14.6640625" customWidth="1"/>
    <col min="1537" max="1537" width="23" customWidth="1"/>
    <col min="1538" max="1538" width="11" customWidth="1"/>
    <col min="1539" max="1539" width="6.88671875" customWidth="1"/>
    <col min="1540" max="1540" width="7.5546875" customWidth="1"/>
    <col min="1541" max="1541" width="7.33203125" customWidth="1"/>
    <col min="1542" max="1542" width="14.6640625" customWidth="1"/>
    <col min="1543" max="1543" width="7.109375" customWidth="1"/>
    <col min="1544" max="1544" width="7.44140625" customWidth="1"/>
    <col min="1546" max="1546" width="10.5546875" bestFit="1" customWidth="1"/>
    <col min="1547" max="1547" width="11.109375" bestFit="1" customWidth="1"/>
    <col min="1548" max="1548" width="10" bestFit="1" customWidth="1"/>
    <col min="1549" max="1550" width="10.5546875" bestFit="1" customWidth="1"/>
    <col min="1551" max="1551" width="10.5546875" customWidth="1"/>
    <col min="1552" max="1552" width="11.109375" bestFit="1" customWidth="1"/>
    <col min="1554" max="1554" width="14.88671875" bestFit="1" customWidth="1"/>
    <col min="1555" max="1555" width="10.5546875" bestFit="1" customWidth="1"/>
    <col min="1556" max="1556" width="10.6640625" customWidth="1"/>
    <col min="1557" max="1557" width="10.5546875" customWidth="1"/>
    <col min="1558" max="1558" width="10.33203125" customWidth="1"/>
    <col min="1559" max="1559" width="12.109375" customWidth="1"/>
    <col min="1560" max="1560" width="14.6640625" customWidth="1"/>
    <col min="1793" max="1793" width="23" customWidth="1"/>
    <col min="1794" max="1794" width="11" customWidth="1"/>
    <col min="1795" max="1795" width="6.88671875" customWidth="1"/>
    <col min="1796" max="1796" width="7.5546875" customWidth="1"/>
    <col min="1797" max="1797" width="7.33203125" customWidth="1"/>
    <col min="1798" max="1798" width="14.6640625" customWidth="1"/>
    <col min="1799" max="1799" width="7.109375" customWidth="1"/>
    <col min="1800" max="1800" width="7.44140625" customWidth="1"/>
    <col min="1802" max="1802" width="10.5546875" bestFit="1" customWidth="1"/>
    <col min="1803" max="1803" width="11.109375" bestFit="1" customWidth="1"/>
    <col min="1804" max="1804" width="10" bestFit="1" customWidth="1"/>
    <col min="1805" max="1806" width="10.5546875" bestFit="1" customWidth="1"/>
    <col min="1807" max="1807" width="10.5546875" customWidth="1"/>
    <col min="1808" max="1808" width="11.109375" bestFit="1" customWidth="1"/>
    <col min="1810" max="1810" width="14.88671875" bestFit="1" customWidth="1"/>
    <col min="1811" max="1811" width="10.5546875" bestFit="1" customWidth="1"/>
    <col min="1812" max="1812" width="10.6640625" customWidth="1"/>
    <col min="1813" max="1813" width="10.5546875" customWidth="1"/>
    <col min="1814" max="1814" width="10.33203125" customWidth="1"/>
    <col min="1815" max="1815" width="12.109375" customWidth="1"/>
    <col min="1816" max="1816" width="14.6640625" customWidth="1"/>
    <col min="2049" max="2049" width="23" customWidth="1"/>
    <col min="2050" max="2050" width="11" customWidth="1"/>
    <col min="2051" max="2051" width="6.88671875" customWidth="1"/>
    <col min="2052" max="2052" width="7.5546875" customWidth="1"/>
    <col min="2053" max="2053" width="7.33203125" customWidth="1"/>
    <col min="2054" max="2054" width="14.6640625" customWidth="1"/>
    <col min="2055" max="2055" width="7.109375" customWidth="1"/>
    <col min="2056" max="2056" width="7.44140625" customWidth="1"/>
    <col min="2058" max="2058" width="10.5546875" bestFit="1" customWidth="1"/>
    <col min="2059" max="2059" width="11.109375" bestFit="1" customWidth="1"/>
    <col min="2060" max="2060" width="10" bestFit="1" customWidth="1"/>
    <col min="2061" max="2062" width="10.5546875" bestFit="1" customWidth="1"/>
    <col min="2063" max="2063" width="10.5546875" customWidth="1"/>
    <col min="2064" max="2064" width="11.109375" bestFit="1" customWidth="1"/>
    <col min="2066" max="2066" width="14.88671875" bestFit="1" customWidth="1"/>
    <col min="2067" max="2067" width="10.5546875" bestFit="1" customWidth="1"/>
    <col min="2068" max="2068" width="10.6640625" customWidth="1"/>
    <col min="2069" max="2069" width="10.5546875" customWidth="1"/>
    <col min="2070" max="2070" width="10.33203125" customWidth="1"/>
    <col min="2071" max="2071" width="12.109375" customWidth="1"/>
    <col min="2072" max="2072" width="14.6640625" customWidth="1"/>
    <col min="2305" max="2305" width="23" customWidth="1"/>
    <col min="2306" max="2306" width="11" customWidth="1"/>
    <col min="2307" max="2307" width="6.88671875" customWidth="1"/>
    <col min="2308" max="2308" width="7.5546875" customWidth="1"/>
    <col min="2309" max="2309" width="7.33203125" customWidth="1"/>
    <col min="2310" max="2310" width="14.6640625" customWidth="1"/>
    <col min="2311" max="2311" width="7.109375" customWidth="1"/>
    <col min="2312" max="2312" width="7.44140625" customWidth="1"/>
    <col min="2314" max="2314" width="10.5546875" bestFit="1" customWidth="1"/>
    <col min="2315" max="2315" width="11.109375" bestFit="1" customWidth="1"/>
    <col min="2316" max="2316" width="10" bestFit="1" customWidth="1"/>
    <col min="2317" max="2318" width="10.5546875" bestFit="1" customWidth="1"/>
    <col min="2319" max="2319" width="10.5546875" customWidth="1"/>
    <col min="2320" max="2320" width="11.109375" bestFit="1" customWidth="1"/>
    <col min="2322" max="2322" width="14.88671875" bestFit="1" customWidth="1"/>
    <col min="2323" max="2323" width="10.5546875" bestFit="1" customWidth="1"/>
    <col min="2324" max="2324" width="10.6640625" customWidth="1"/>
    <col min="2325" max="2325" width="10.5546875" customWidth="1"/>
    <col min="2326" max="2326" width="10.33203125" customWidth="1"/>
    <col min="2327" max="2327" width="12.109375" customWidth="1"/>
    <col min="2328" max="2328" width="14.6640625" customWidth="1"/>
    <col min="2561" max="2561" width="23" customWidth="1"/>
    <col min="2562" max="2562" width="11" customWidth="1"/>
    <col min="2563" max="2563" width="6.88671875" customWidth="1"/>
    <col min="2564" max="2564" width="7.5546875" customWidth="1"/>
    <col min="2565" max="2565" width="7.33203125" customWidth="1"/>
    <col min="2566" max="2566" width="14.6640625" customWidth="1"/>
    <col min="2567" max="2567" width="7.109375" customWidth="1"/>
    <col min="2568" max="2568" width="7.44140625" customWidth="1"/>
    <col min="2570" max="2570" width="10.5546875" bestFit="1" customWidth="1"/>
    <col min="2571" max="2571" width="11.109375" bestFit="1" customWidth="1"/>
    <col min="2572" max="2572" width="10" bestFit="1" customWidth="1"/>
    <col min="2573" max="2574" width="10.5546875" bestFit="1" customWidth="1"/>
    <col min="2575" max="2575" width="10.5546875" customWidth="1"/>
    <col min="2576" max="2576" width="11.109375" bestFit="1" customWidth="1"/>
    <col min="2578" max="2578" width="14.88671875" bestFit="1" customWidth="1"/>
    <col min="2579" max="2579" width="10.5546875" bestFit="1" customWidth="1"/>
    <col min="2580" max="2580" width="10.6640625" customWidth="1"/>
    <col min="2581" max="2581" width="10.5546875" customWidth="1"/>
    <col min="2582" max="2582" width="10.33203125" customWidth="1"/>
    <col min="2583" max="2583" width="12.109375" customWidth="1"/>
    <col min="2584" max="2584" width="14.6640625" customWidth="1"/>
    <col min="2817" max="2817" width="23" customWidth="1"/>
    <col min="2818" max="2818" width="11" customWidth="1"/>
    <col min="2819" max="2819" width="6.88671875" customWidth="1"/>
    <col min="2820" max="2820" width="7.5546875" customWidth="1"/>
    <col min="2821" max="2821" width="7.33203125" customWidth="1"/>
    <col min="2822" max="2822" width="14.6640625" customWidth="1"/>
    <col min="2823" max="2823" width="7.109375" customWidth="1"/>
    <col min="2824" max="2824" width="7.44140625" customWidth="1"/>
    <col min="2826" max="2826" width="10.5546875" bestFit="1" customWidth="1"/>
    <col min="2827" max="2827" width="11.109375" bestFit="1" customWidth="1"/>
    <col min="2828" max="2828" width="10" bestFit="1" customWidth="1"/>
    <col min="2829" max="2830" width="10.5546875" bestFit="1" customWidth="1"/>
    <col min="2831" max="2831" width="10.5546875" customWidth="1"/>
    <col min="2832" max="2832" width="11.109375" bestFit="1" customWidth="1"/>
    <col min="2834" max="2834" width="14.88671875" bestFit="1" customWidth="1"/>
    <col min="2835" max="2835" width="10.5546875" bestFit="1" customWidth="1"/>
    <col min="2836" max="2836" width="10.6640625" customWidth="1"/>
    <col min="2837" max="2837" width="10.5546875" customWidth="1"/>
    <col min="2838" max="2838" width="10.33203125" customWidth="1"/>
    <col min="2839" max="2839" width="12.109375" customWidth="1"/>
    <col min="2840" max="2840" width="14.6640625" customWidth="1"/>
    <col min="3073" max="3073" width="23" customWidth="1"/>
    <col min="3074" max="3074" width="11" customWidth="1"/>
    <col min="3075" max="3075" width="6.88671875" customWidth="1"/>
    <col min="3076" max="3076" width="7.5546875" customWidth="1"/>
    <col min="3077" max="3077" width="7.33203125" customWidth="1"/>
    <col min="3078" max="3078" width="14.6640625" customWidth="1"/>
    <col min="3079" max="3079" width="7.109375" customWidth="1"/>
    <col min="3080" max="3080" width="7.44140625" customWidth="1"/>
    <col min="3082" max="3082" width="10.5546875" bestFit="1" customWidth="1"/>
    <col min="3083" max="3083" width="11.109375" bestFit="1" customWidth="1"/>
    <col min="3084" max="3084" width="10" bestFit="1" customWidth="1"/>
    <col min="3085" max="3086" width="10.5546875" bestFit="1" customWidth="1"/>
    <col min="3087" max="3087" width="10.5546875" customWidth="1"/>
    <col min="3088" max="3088" width="11.109375" bestFit="1" customWidth="1"/>
    <col min="3090" max="3090" width="14.88671875" bestFit="1" customWidth="1"/>
    <col min="3091" max="3091" width="10.5546875" bestFit="1" customWidth="1"/>
    <col min="3092" max="3092" width="10.6640625" customWidth="1"/>
    <col min="3093" max="3093" width="10.5546875" customWidth="1"/>
    <col min="3094" max="3094" width="10.33203125" customWidth="1"/>
    <col min="3095" max="3095" width="12.109375" customWidth="1"/>
    <col min="3096" max="3096" width="14.6640625" customWidth="1"/>
    <col min="3329" max="3329" width="23" customWidth="1"/>
    <col min="3330" max="3330" width="11" customWidth="1"/>
    <col min="3331" max="3331" width="6.88671875" customWidth="1"/>
    <col min="3332" max="3332" width="7.5546875" customWidth="1"/>
    <col min="3333" max="3333" width="7.33203125" customWidth="1"/>
    <col min="3334" max="3334" width="14.6640625" customWidth="1"/>
    <col min="3335" max="3335" width="7.109375" customWidth="1"/>
    <col min="3336" max="3336" width="7.44140625" customWidth="1"/>
    <col min="3338" max="3338" width="10.5546875" bestFit="1" customWidth="1"/>
    <col min="3339" max="3339" width="11.109375" bestFit="1" customWidth="1"/>
    <col min="3340" max="3340" width="10" bestFit="1" customWidth="1"/>
    <col min="3341" max="3342" width="10.5546875" bestFit="1" customWidth="1"/>
    <col min="3343" max="3343" width="10.5546875" customWidth="1"/>
    <col min="3344" max="3344" width="11.109375" bestFit="1" customWidth="1"/>
    <col min="3346" max="3346" width="14.88671875" bestFit="1" customWidth="1"/>
    <col min="3347" max="3347" width="10.5546875" bestFit="1" customWidth="1"/>
    <col min="3348" max="3348" width="10.6640625" customWidth="1"/>
    <col min="3349" max="3349" width="10.5546875" customWidth="1"/>
    <col min="3350" max="3350" width="10.33203125" customWidth="1"/>
    <col min="3351" max="3351" width="12.109375" customWidth="1"/>
    <col min="3352" max="3352" width="14.6640625" customWidth="1"/>
    <col min="3585" max="3585" width="23" customWidth="1"/>
    <col min="3586" max="3586" width="11" customWidth="1"/>
    <col min="3587" max="3587" width="6.88671875" customWidth="1"/>
    <col min="3588" max="3588" width="7.5546875" customWidth="1"/>
    <col min="3589" max="3589" width="7.33203125" customWidth="1"/>
    <col min="3590" max="3590" width="14.6640625" customWidth="1"/>
    <col min="3591" max="3591" width="7.109375" customWidth="1"/>
    <col min="3592" max="3592" width="7.44140625" customWidth="1"/>
    <col min="3594" max="3594" width="10.5546875" bestFit="1" customWidth="1"/>
    <col min="3595" max="3595" width="11.109375" bestFit="1" customWidth="1"/>
    <col min="3596" max="3596" width="10" bestFit="1" customWidth="1"/>
    <col min="3597" max="3598" width="10.5546875" bestFit="1" customWidth="1"/>
    <col min="3599" max="3599" width="10.5546875" customWidth="1"/>
    <col min="3600" max="3600" width="11.109375" bestFit="1" customWidth="1"/>
    <col min="3602" max="3602" width="14.88671875" bestFit="1" customWidth="1"/>
    <col min="3603" max="3603" width="10.5546875" bestFit="1" customWidth="1"/>
    <col min="3604" max="3604" width="10.6640625" customWidth="1"/>
    <col min="3605" max="3605" width="10.5546875" customWidth="1"/>
    <col min="3606" max="3606" width="10.33203125" customWidth="1"/>
    <col min="3607" max="3607" width="12.109375" customWidth="1"/>
    <col min="3608" max="3608" width="14.6640625" customWidth="1"/>
    <col min="3841" max="3841" width="23" customWidth="1"/>
    <col min="3842" max="3842" width="11" customWidth="1"/>
    <col min="3843" max="3843" width="6.88671875" customWidth="1"/>
    <col min="3844" max="3844" width="7.5546875" customWidth="1"/>
    <col min="3845" max="3845" width="7.33203125" customWidth="1"/>
    <col min="3846" max="3846" width="14.6640625" customWidth="1"/>
    <col min="3847" max="3847" width="7.109375" customWidth="1"/>
    <col min="3848" max="3848" width="7.44140625" customWidth="1"/>
    <col min="3850" max="3850" width="10.5546875" bestFit="1" customWidth="1"/>
    <col min="3851" max="3851" width="11.109375" bestFit="1" customWidth="1"/>
    <col min="3852" max="3852" width="10" bestFit="1" customWidth="1"/>
    <col min="3853" max="3854" width="10.5546875" bestFit="1" customWidth="1"/>
    <col min="3855" max="3855" width="10.5546875" customWidth="1"/>
    <col min="3856" max="3856" width="11.109375" bestFit="1" customWidth="1"/>
    <col min="3858" max="3858" width="14.88671875" bestFit="1" customWidth="1"/>
    <col min="3859" max="3859" width="10.5546875" bestFit="1" customWidth="1"/>
    <col min="3860" max="3860" width="10.6640625" customWidth="1"/>
    <col min="3861" max="3861" width="10.5546875" customWidth="1"/>
    <col min="3862" max="3862" width="10.33203125" customWidth="1"/>
    <col min="3863" max="3863" width="12.109375" customWidth="1"/>
    <col min="3864" max="3864" width="14.6640625" customWidth="1"/>
    <col min="4097" max="4097" width="23" customWidth="1"/>
    <col min="4098" max="4098" width="11" customWidth="1"/>
    <col min="4099" max="4099" width="6.88671875" customWidth="1"/>
    <col min="4100" max="4100" width="7.5546875" customWidth="1"/>
    <col min="4101" max="4101" width="7.33203125" customWidth="1"/>
    <col min="4102" max="4102" width="14.6640625" customWidth="1"/>
    <col min="4103" max="4103" width="7.109375" customWidth="1"/>
    <col min="4104" max="4104" width="7.44140625" customWidth="1"/>
    <col min="4106" max="4106" width="10.5546875" bestFit="1" customWidth="1"/>
    <col min="4107" max="4107" width="11.109375" bestFit="1" customWidth="1"/>
    <col min="4108" max="4108" width="10" bestFit="1" customWidth="1"/>
    <col min="4109" max="4110" width="10.5546875" bestFit="1" customWidth="1"/>
    <col min="4111" max="4111" width="10.5546875" customWidth="1"/>
    <col min="4112" max="4112" width="11.109375" bestFit="1" customWidth="1"/>
    <col min="4114" max="4114" width="14.88671875" bestFit="1" customWidth="1"/>
    <col min="4115" max="4115" width="10.5546875" bestFit="1" customWidth="1"/>
    <col min="4116" max="4116" width="10.6640625" customWidth="1"/>
    <col min="4117" max="4117" width="10.5546875" customWidth="1"/>
    <col min="4118" max="4118" width="10.33203125" customWidth="1"/>
    <col min="4119" max="4119" width="12.109375" customWidth="1"/>
    <col min="4120" max="4120" width="14.6640625" customWidth="1"/>
    <col min="4353" max="4353" width="23" customWidth="1"/>
    <col min="4354" max="4354" width="11" customWidth="1"/>
    <col min="4355" max="4355" width="6.88671875" customWidth="1"/>
    <col min="4356" max="4356" width="7.5546875" customWidth="1"/>
    <col min="4357" max="4357" width="7.33203125" customWidth="1"/>
    <col min="4358" max="4358" width="14.6640625" customWidth="1"/>
    <col min="4359" max="4359" width="7.109375" customWidth="1"/>
    <col min="4360" max="4360" width="7.44140625" customWidth="1"/>
    <col min="4362" max="4362" width="10.5546875" bestFit="1" customWidth="1"/>
    <col min="4363" max="4363" width="11.109375" bestFit="1" customWidth="1"/>
    <col min="4364" max="4364" width="10" bestFit="1" customWidth="1"/>
    <col min="4365" max="4366" width="10.5546875" bestFit="1" customWidth="1"/>
    <col min="4367" max="4367" width="10.5546875" customWidth="1"/>
    <col min="4368" max="4368" width="11.109375" bestFit="1" customWidth="1"/>
    <col min="4370" max="4370" width="14.88671875" bestFit="1" customWidth="1"/>
    <col min="4371" max="4371" width="10.5546875" bestFit="1" customWidth="1"/>
    <col min="4372" max="4372" width="10.6640625" customWidth="1"/>
    <col min="4373" max="4373" width="10.5546875" customWidth="1"/>
    <col min="4374" max="4374" width="10.33203125" customWidth="1"/>
    <col min="4375" max="4375" width="12.109375" customWidth="1"/>
    <col min="4376" max="4376" width="14.6640625" customWidth="1"/>
    <col min="4609" max="4609" width="23" customWidth="1"/>
    <col min="4610" max="4610" width="11" customWidth="1"/>
    <col min="4611" max="4611" width="6.88671875" customWidth="1"/>
    <col min="4612" max="4612" width="7.5546875" customWidth="1"/>
    <col min="4613" max="4613" width="7.33203125" customWidth="1"/>
    <col min="4614" max="4614" width="14.6640625" customWidth="1"/>
    <col min="4615" max="4615" width="7.109375" customWidth="1"/>
    <col min="4616" max="4616" width="7.44140625" customWidth="1"/>
    <col min="4618" max="4618" width="10.5546875" bestFit="1" customWidth="1"/>
    <col min="4619" max="4619" width="11.109375" bestFit="1" customWidth="1"/>
    <col min="4620" max="4620" width="10" bestFit="1" customWidth="1"/>
    <col min="4621" max="4622" width="10.5546875" bestFit="1" customWidth="1"/>
    <col min="4623" max="4623" width="10.5546875" customWidth="1"/>
    <col min="4624" max="4624" width="11.109375" bestFit="1" customWidth="1"/>
    <col min="4626" max="4626" width="14.88671875" bestFit="1" customWidth="1"/>
    <col min="4627" max="4627" width="10.5546875" bestFit="1" customWidth="1"/>
    <col min="4628" max="4628" width="10.6640625" customWidth="1"/>
    <col min="4629" max="4629" width="10.5546875" customWidth="1"/>
    <col min="4630" max="4630" width="10.33203125" customWidth="1"/>
    <col min="4631" max="4631" width="12.109375" customWidth="1"/>
    <col min="4632" max="4632" width="14.6640625" customWidth="1"/>
    <col min="4865" max="4865" width="23" customWidth="1"/>
    <col min="4866" max="4866" width="11" customWidth="1"/>
    <col min="4867" max="4867" width="6.88671875" customWidth="1"/>
    <col min="4868" max="4868" width="7.5546875" customWidth="1"/>
    <col min="4869" max="4869" width="7.33203125" customWidth="1"/>
    <col min="4870" max="4870" width="14.6640625" customWidth="1"/>
    <col min="4871" max="4871" width="7.109375" customWidth="1"/>
    <col min="4872" max="4872" width="7.44140625" customWidth="1"/>
    <col min="4874" max="4874" width="10.5546875" bestFit="1" customWidth="1"/>
    <col min="4875" max="4875" width="11.109375" bestFit="1" customWidth="1"/>
    <col min="4876" max="4876" width="10" bestFit="1" customWidth="1"/>
    <col min="4877" max="4878" width="10.5546875" bestFit="1" customWidth="1"/>
    <col min="4879" max="4879" width="10.5546875" customWidth="1"/>
    <col min="4880" max="4880" width="11.109375" bestFit="1" customWidth="1"/>
    <col min="4882" max="4882" width="14.88671875" bestFit="1" customWidth="1"/>
    <col min="4883" max="4883" width="10.5546875" bestFit="1" customWidth="1"/>
    <col min="4884" max="4884" width="10.6640625" customWidth="1"/>
    <col min="4885" max="4885" width="10.5546875" customWidth="1"/>
    <col min="4886" max="4886" width="10.33203125" customWidth="1"/>
    <col min="4887" max="4887" width="12.109375" customWidth="1"/>
    <col min="4888" max="4888" width="14.6640625" customWidth="1"/>
    <col min="5121" max="5121" width="23" customWidth="1"/>
    <col min="5122" max="5122" width="11" customWidth="1"/>
    <col min="5123" max="5123" width="6.88671875" customWidth="1"/>
    <col min="5124" max="5124" width="7.5546875" customWidth="1"/>
    <col min="5125" max="5125" width="7.33203125" customWidth="1"/>
    <col min="5126" max="5126" width="14.6640625" customWidth="1"/>
    <col min="5127" max="5127" width="7.109375" customWidth="1"/>
    <col min="5128" max="5128" width="7.44140625" customWidth="1"/>
    <col min="5130" max="5130" width="10.5546875" bestFit="1" customWidth="1"/>
    <col min="5131" max="5131" width="11.109375" bestFit="1" customWidth="1"/>
    <col min="5132" max="5132" width="10" bestFit="1" customWidth="1"/>
    <col min="5133" max="5134" width="10.5546875" bestFit="1" customWidth="1"/>
    <col min="5135" max="5135" width="10.5546875" customWidth="1"/>
    <col min="5136" max="5136" width="11.109375" bestFit="1" customWidth="1"/>
    <col min="5138" max="5138" width="14.88671875" bestFit="1" customWidth="1"/>
    <col min="5139" max="5139" width="10.5546875" bestFit="1" customWidth="1"/>
    <col min="5140" max="5140" width="10.6640625" customWidth="1"/>
    <col min="5141" max="5141" width="10.5546875" customWidth="1"/>
    <col min="5142" max="5142" width="10.33203125" customWidth="1"/>
    <col min="5143" max="5143" width="12.109375" customWidth="1"/>
    <col min="5144" max="5144" width="14.6640625" customWidth="1"/>
    <col min="5377" max="5377" width="23" customWidth="1"/>
    <col min="5378" max="5378" width="11" customWidth="1"/>
    <col min="5379" max="5379" width="6.88671875" customWidth="1"/>
    <col min="5380" max="5380" width="7.5546875" customWidth="1"/>
    <col min="5381" max="5381" width="7.33203125" customWidth="1"/>
    <col min="5382" max="5382" width="14.6640625" customWidth="1"/>
    <col min="5383" max="5383" width="7.109375" customWidth="1"/>
    <col min="5384" max="5384" width="7.44140625" customWidth="1"/>
    <col min="5386" max="5386" width="10.5546875" bestFit="1" customWidth="1"/>
    <col min="5387" max="5387" width="11.109375" bestFit="1" customWidth="1"/>
    <col min="5388" max="5388" width="10" bestFit="1" customWidth="1"/>
    <col min="5389" max="5390" width="10.5546875" bestFit="1" customWidth="1"/>
    <col min="5391" max="5391" width="10.5546875" customWidth="1"/>
    <col min="5392" max="5392" width="11.109375" bestFit="1" customWidth="1"/>
    <col min="5394" max="5394" width="14.88671875" bestFit="1" customWidth="1"/>
    <col min="5395" max="5395" width="10.5546875" bestFit="1" customWidth="1"/>
    <col min="5396" max="5396" width="10.6640625" customWidth="1"/>
    <col min="5397" max="5397" width="10.5546875" customWidth="1"/>
    <col min="5398" max="5398" width="10.33203125" customWidth="1"/>
    <col min="5399" max="5399" width="12.109375" customWidth="1"/>
    <col min="5400" max="5400" width="14.6640625" customWidth="1"/>
    <col min="5633" max="5633" width="23" customWidth="1"/>
    <col min="5634" max="5634" width="11" customWidth="1"/>
    <col min="5635" max="5635" width="6.88671875" customWidth="1"/>
    <col min="5636" max="5636" width="7.5546875" customWidth="1"/>
    <col min="5637" max="5637" width="7.33203125" customWidth="1"/>
    <col min="5638" max="5638" width="14.6640625" customWidth="1"/>
    <col min="5639" max="5639" width="7.109375" customWidth="1"/>
    <col min="5640" max="5640" width="7.44140625" customWidth="1"/>
    <col min="5642" max="5642" width="10.5546875" bestFit="1" customWidth="1"/>
    <col min="5643" max="5643" width="11.109375" bestFit="1" customWidth="1"/>
    <col min="5644" max="5644" width="10" bestFit="1" customWidth="1"/>
    <col min="5645" max="5646" width="10.5546875" bestFit="1" customWidth="1"/>
    <col min="5647" max="5647" width="10.5546875" customWidth="1"/>
    <col min="5648" max="5648" width="11.109375" bestFit="1" customWidth="1"/>
    <col min="5650" max="5650" width="14.88671875" bestFit="1" customWidth="1"/>
    <col min="5651" max="5651" width="10.5546875" bestFit="1" customWidth="1"/>
    <col min="5652" max="5652" width="10.6640625" customWidth="1"/>
    <col min="5653" max="5653" width="10.5546875" customWidth="1"/>
    <col min="5654" max="5654" width="10.33203125" customWidth="1"/>
    <col min="5655" max="5655" width="12.109375" customWidth="1"/>
    <col min="5656" max="5656" width="14.6640625" customWidth="1"/>
    <col min="5889" max="5889" width="23" customWidth="1"/>
    <col min="5890" max="5890" width="11" customWidth="1"/>
    <col min="5891" max="5891" width="6.88671875" customWidth="1"/>
    <col min="5892" max="5892" width="7.5546875" customWidth="1"/>
    <col min="5893" max="5893" width="7.33203125" customWidth="1"/>
    <col min="5894" max="5894" width="14.6640625" customWidth="1"/>
    <col min="5895" max="5895" width="7.109375" customWidth="1"/>
    <col min="5896" max="5896" width="7.44140625" customWidth="1"/>
    <col min="5898" max="5898" width="10.5546875" bestFit="1" customWidth="1"/>
    <col min="5899" max="5899" width="11.109375" bestFit="1" customWidth="1"/>
    <col min="5900" max="5900" width="10" bestFit="1" customWidth="1"/>
    <col min="5901" max="5902" width="10.5546875" bestFit="1" customWidth="1"/>
    <col min="5903" max="5903" width="10.5546875" customWidth="1"/>
    <col min="5904" max="5904" width="11.109375" bestFit="1" customWidth="1"/>
    <col min="5906" max="5906" width="14.88671875" bestFit="1" customWidth="1"/>
    <col min="5907" max="5907" width="10.5546875" bestFit="1" customWidth="1"/>
    <col min="5908" max="5908" width="10.6640625" customWidth="1"/>
    <col min="5909" max="5909" width="10.5546875" customWidth="1"/>
    <col min="5910" max="5910" width="10.33203125" customWidth="1"/>
    <col min="5911" max="5911" width="12.109375" customWidth="1"/>
    <col min="5912" max="5912" width="14.6640625" customWidth="1"/>
    <col min="6145" max="6145" width="23" customWidth="1"/>
    <col min="6146" max="6146" width="11" customWidth="1"/>
    <col min="6147" max="6147" width="6.88671875" customWidth="1"/>
    <col min="6148" max="6148" width="7.5546875" customWidth="1"/>
    <col min="6149" max="6149" width="7.33203125" customWidth="1"/>
    <col min="6150" max="6150" width="14.6640625" customWidth="1"/>
    <col min="6151" max="6151" width="7.109375" customWidth="1"/>
    <col min="6152" max="6152" width="7.44140625" customWidth="1"/>
    <col min="6154" max="6154" width="10.5546875" bestFit="1" customWidth="1"/>
    <col min="6155" max="6155" width="11.109375" bestFit="1" customWidth="1"/>
    <col min="6156" max="6156" width="10" bestFit="1" customWidth="1"/>
    <col min="6157" max="6158" width="10.5546875" bestFit="1" customWidth="1"/>
    <col min="6159" max="6159" width="10.5546875" customWidth="1"/>
    <col min="6160" max="6160" width="11.109375" bestFit="1" customWidth="1"/>
    <col min="6162" max="6162" width="14.88671875" bestFit="1" customWidth="1"/>
    <col min="6163" max="6163" width="10.5546875" bestFit="1" customWidth="1"/>
    <col min="6164" max="6164" width="10.6640625" customWidth="1"/>
    <col min="6165" max="6165" width="10.5546875" customWidth="1"/>
    <col min="6166" max="6166" width="10.33203125" customWidth="1"/>
    <col min="6167" max="6167" width="12.109375" customWidth="1"/>
    <col min="6168" max="6168" width="14.6640625" customWidth="1"/>
    <col min="6401" max="6401" width="23" customWidth="1"/>
    <col min="6402" max="6402" width="11" customWidth="1"/>
    <col min="6403" max="6403" width="6.88671875" customWidth="1"/>
    <col min="6404" max="6404" width="7.5546875" customWidth="1"/>
    <col min="6405" max="6405" width="7.33203125" customWidth="1"/>
    <col min="6406" max="6406" width="14.6640625" customWidth="1"/>
    <col min="6407" max="6407" width="7.109375" customWidth="1"/>
    <col min="6408" max="6408" width="7.44140625" customWidth="1"/>
    <col min="6410" max="6410" width="10.5546875" bestFit="1" customWidth="1"/>
    <col min="6411" max="6411" width="11.109375" bestFit="1" customWidth="1"/>
    <col min="6412" max="6412" width="10" bestFit="1" customWidth="1"/>
    <col min="6413" max="6414" width="10.5546875" bestFit="1" customWidth="1"/>
    <col min="6415" max="6415" width="10.5546875" customWidth="1"/>
    <col min="6416" max="6416" width="11.109375" bestFit="1" customWidth="1"/>
    <col min="6418" max="6418" width="14.88671875" bestFit="1" customWidth="1"/>
    <col min="6419" max="6419" width="10.5546875" bestFit="1" customWidth="1"/>
    <col min="6420" max="6420" width="10.6640625" customWidth="1"/>
    <col min="6421" max="6421" width="10.5546875" customWidth="1"/>
    <col min="6422" max="6422" width="10.33203125" customWidth="1"/>
    <col min="6423" max="6423" width="12.109375" customWidth="1"/>
    <col min="6424" max="6424" width="14.6640625" customWidth="1"/>
    <col min="6657" max="6657" width="23" customWidth="1"/>
    <col min="6658" max="6658" width="11" customWidth="1"/>
    <col min="6659" max="6659" width="6.88671875" customWidth="1"/>
    <col min="6660" max="6660" width="7.5546875" customWidth="1"/>
    <col min="6661" max="6661" width="7.33203125" customWidth="1"/>
    <col min="6662" max="6662" width="14.6640625" customWidth="1"/>
    <col min="6663" max="6663" width="7.109375" customWidth="1"/>
    <col min="6664" max="6664" width="7.44140625" customWidth="1"/>
    <col min="6666" max="6666" width="10.5546875" bestFit="1" customWidth="1"/>
    <col min="6667" max="6667" width="11.109375" bestFit="1" customWidth="1"/>
    <col min="6668" max="6668" width="10" bestFit="1" customWidth="1"/>
    <col min="6669" max="6670" width="10.5546875" bestFit="1" customWidth="1"/>
    <col min="6671" max="6671" width="10.5546875" customWidth="1"/>
    <col min="6672" max="6672" width="11.109375" bestFit="1" customWidth="1"/>
    <col min="6674" max="6674" width="14.88671875" bestFit="1" customWidth="1"/>
    <col min="6675" max="6675" width="10.5546875" bestFit="1" customWidth="1"/>
    <col min="6676" max="6676" width="10.6640625" customWidth="1"/>
    <col min="6677" max="6677" width="10.5546875" customWidth="1"/>
    <col min="6678" max="6678" width="10.33203125" customWidth="1"/>
    <col min="6679" max="6679" width="12.109375" customWidth="1"/>
    <col min="6680" max="6680" width="14.6640625" customWidth="1"/>
    <col min="6913" max="6913" width="23" customWidth="1"/>
    <col min="6914" max="6914" width="11" customWidth="1"/>
    <col min="6915" max="6915" width="6.88671875" customWidth="1"/>
    <col min="6916" max="6916" width="7.5546875" customWidth="1"/>
    <col min="6917" max="6917" width="7.33203125" customWidth="1"/>
    <col min="6918" max="6918" width="14.6640625" customWidth="1"/>
    <col min="6919" max="6919" width="7.109375" customWidth="1"/>
    <col min="6920" max="6920" width="7.44140625" customWidth="1"/>
    <col min="6922" max="6922" width="10.5546875" bestFit="1" customWidth="1"/>
    <col min="6923" max="6923" width="11.109375" bestFit="1" customWidth="1"/>
    <col min="6924" max="6924" width="10" bestFit="1" customWidth="1"/>
    <col min="6925" max="6926" width="10.5546875" bestFit="1" customWidth="1"/>
    <col min="6927" max="6927" width="10.5546875" customWidth="1"/>
    <col min="6928" max="6928" width="11.109375" bestFit="1" customWidth="1"/>
    <col min="6930" max="6930" width="14.88671875" bestFit="1" customWidth="1"/>
    <col min="6931" max="6931" width="10.5546875" bestFit="1" customWidth="1"/>
    <col min="6932" max="6932" width="10.6640625" customWidth="1"/>
    <col min="6933" max="6933" width="10.5546875" customWidth="1"/>
    <col min="6934" max="6934" width="10.33203125" customWidth="1"/>
    <col min="6935" max="6935" width="12.109375" customWidth="1"/>
    <col min="6936" max="6936" width="14.6640625" customWidth="1"/>
    <col min="7169" max="7169" width="23" customWidth="1"/>
    <col min="7170" max="7170" width="11" customWidth="1"/>
    <col min="7171" max="7171" width="6.88671875" customWidth="1"/>
    <col min="7172" max="7172" width="7.5546875" customWidth="1"/>
    <col min="7173" max="7173" width="7.33203125" customWidth="1"/>
    <col min="7174" max="7174" width="14.6640625" customWidth="1"/>
    <col min="7175" max="7175" width="7.109375" customWidth="1"/>
    <col min="7176" max="7176" width="7.44140625" customWidth="1"/>
    <col min="7178" max="7178" width="10.5546875" bestFit="1" customWidth="1"/>
    <col min="7179" max="7179" width="11.109375" bestFit="1" customWidth="1"/>
    <col min="7180" max="7180" width="10" bestFit="1" customWidth="1"/>
    <col min="7181" max="7182" width="10.5546875" bestFit="1" customWidth="1"/>
    <col min="7183" max="7183" width="10.5546875" customWidth="1"/>
    <col min="7184" max="7184" width="11.109375" bestFit="1" customWidth="1"/>
    <col min="7186" max="7186" width="14.88671875" bestFit="1" customWidth="1"/>
    <col min="7187" max="7187" width="10.5546875" bestFit="1" customWidth="1"/>
    <col min="7188" max="7188" width="10.6640625" customWidth="1"/>
    <col min="7189" max="7189" width="10.5546875" customWidth="1"/>
    <col min="7190" max="7190" width="10.33203125" customWidth="1"/>
    <col min="7191" max="7191" width="12.109375" customWidth="1"/>
    <col min="7192" max="7192" width="14.6640625" customWidth="1"/>
    <col min="7425" max="7425" width="23" customWidth="1"/>
    <col min="7426" max="7426" width="11" customWidth="1"/>
    <col min="7427" max="7427" width="6.88671875" customWidth="1"/>
    <col min="7428" max="7428" width="7.5546875" customWidth="1"/>
    <col min="7429" max="7429" width="7.33203125" customWidth="1"/>
    <col min="7430" max="7430" width="14.6640625" customWidth="1"/>
    <col min="7431" max="7431" width="7.109375" customWidth="1"/>
    <col min="7432" max="7432" width="7.44140625" customWidth="1"/>
    <col min="7434" max="7434" width="10.5546875" bestFit="1" customWidth="1"/>
    <col min="7435" max="7435" width="11.109375" bestFit="1" customWidth="1"/>
    <col min="7436" max="7436" width="10" bestFit="1" customWidth="1"/>
    <col min="7437" max="7438" width="10.5546875" bestFit="1" customWidth="1"/>
    <col min="7439" max="7439" width="10.5546875" customWidth="1"/>
    <col min="7440" max="7440" width="11.109375" bestFit="1" customWidth="1"/>
    <col min="7442" max="7442" width="14.88671875" bestFit="1" customWidth="1"/>
    <col min="7443" max="7443" width="10.5546875" bestFit="1" customWidth="1"/>
    <col min="7444" max="7444" width="10.6640625" customWidth="1"/>
    <col min="7445" max="7445" width="10.5546875" customWidth="1"/>
    <col min="7446" max="7446" width="10.33203125" customWidth="1"/>
    <col min="7447" max="7447" width="12.109375" customWidth="1"/>
    <col min="7448" max="7448" width="14.6640625" customWidth="1"/>
    <col min="7681" max="7681" width="23" customWidth="1"/>
    <col min="7682" max="7682" width="11" customWidth="1"/>
    <col min="7683" max="7683" width="6.88671875" customWidth="1"/>
    <col min="7684" max="7684" width="7.5546875" customWidth="1"/>
    <col min="7685" max="7685" width="7.33203125" customWidth="1"/>
    <col min="7686" max="7686" width="14.6640625" customWidth="1"/>
    <col min="7687" max="7687" width="7.109375" customWidth="1"/>
    <col min="7688" max="7688" width="7.44140625" customWidth="1"/>
    <col min="7690" max="7690" width="10.5546875" bestFit="1" customWidth="1"/>
    <col min="7691" max="7691" width="11.109375" bestFit="1" customWidth="1"/>
    <col min="7692" max="7692" width="10" bestFit="1" customWidth="1"/>
    <col min="7693" max="7694" width="10.5546875" bestFit="1" customWidth="1"/>
    <col min="7695" max="7695" width="10.5546875" customWidth="1"/>
    <col min="7696" max="7696" width="11.109375" bestFit="1" customWidth="1"/>
    <col min="7698" max="7698" width="14.88671875" bestFit="1" customWidth="1"/>
    <col min="7699" max="7699" width="10.5546875" bestFit="1" customWidth="1"/>
    <col min="7700" max="7700" width="10.6640625" customWidth="1"/>
    <col min="7701" max="7701" width="10.5546875" customWidth="1"/>
    <col min="7702" max="7702" width="10.33203125" customWidth="1"/>
    <col min="7703" max="7703" width="12.109375" customWidth="1"/>
    <col min="7704" max="7704" width="14.6640625" customWidth="1"/>
    <col min="7937" max="7937" width="23" customWidth="1"/>
    <col min="7938" max="7938" width="11" customWidth="1"/>
    <col min="7939" max="7939" width="6.88671875" customWidth="1"/>
    <col min="7940" max="7940" width="7.5546875" customWidth="1"/>
    <col min="7941" max="7941" width="7.33203125" customWidth="1"/>
    <col min="7942" max="7942" width="14.6640625" customWidth="1"/>
    <col min="7943" max="7943" width="7.109375" customWidth="1"/>
    <col min="7944" max="7944" width="7.44140625" customWidth="1"/>
    <col min="7946" max="7946" width="10.5546875" bestFit="1" customWidth="1"/>
    <col min="7947" max="7947" width="11.109375" bestFit="1" customWidth="1"/>
    <col min="7948" max="7948" width="10" bestFit="1" customWidth="1"/>
    <col min="7949" max="7950" width="10.5546875" bestFit="1" customWidth="1"/>
    <col min="7951" max="7951" width="10.5546875" customWidth="1"/>
    <col min="7952" max="7952" width="11.109375" bestFit="1" customWidth="1"/>
    <col min="7954" max="7954" width="14.88671875" bestFit="1" customWidth="1"/>
    <col min="7955" max="7955" width="10.5546875" bestFit="1" customWidth="1"/>
    <col min="7956" max="7956" width="10.6640625" customWidth="1"/>
    <col min="7957" max="7957" width="10.5546875" customWidth="1"/>
    <col min="7958" max="7958" width="10.33203125" customWidth="1"/>
    <col min="7959" max="7959" width="12.109375" customWidth="1"/>
    <col min="7960" max="7960" width="14.6640625" customWidth="1"/>
    <col min="8193" max="8193" width="23" customWidth="1"/>
    <col min="8194" max="8194" width="11" customWidth="1"/>
    <col min="8195" max="8195" width="6.88671875" customWidth="1"/>
    <col min="8196" max="8196" width="7.5546875" customWidth="1"/>
    <col min="8197" max="8197" width="7.33203125" customWidth="1"/>
    <col min="8198" max="8198" width="14.6640625" customWidth="1"/>
    <col min="8199" max="8199" width="7.109375" customWidth="1"/>
    <col min="8200" max="8200" width="7.44140625" customWidth="1"/>
    <col min="8202" max="8202" width="10.5546875" bestFit="1" customWidth="1"/>
    <col min="8203" max="8203" width="11.109375" bestFit="1" customWidth="1"/>
    <col min="8204" max="8204" width="10" bestFit="1" customWidth="1"/>
    <col min="8205" max="8206" width="10.5546875" bestFit="1" customWidth="1"/>
    <col min="8207" max="8207" width="10.5546875" customWidth="1"/>
    <col min="8208" max="8208" width="11.109375" bestFit="1" customWidth="1"/>
    <col min="8210" max="8210" width="14.88671875" bestFit="1" customWidth="1"/>
    <col min="8211" max="8211" width="10.5546875" bestFit="1" customWidth="1"/>
    <col min="8212" max="8212" width="10.6640625" customWidth="1"/>
    <col min="8213" max="8213" width="10.5546875" customWidth="1"/>
    <col min="8214" max="8214" width="10.33203125" customWidth="1"/>
    <col min="8215" max="8215" width="12.109375" customWidth="1"/>
    <col min="8216" max="8216" width="14.6640625" customWidth="1"/>
    <col min="8449" max="8449" width="23" customWidth="1"/>
    <col min="8450" max="8450" width="11" customWidth="1"/>
    <col min="8451" max="8451" width="6.88671875" customWidth="1"/>
    <col min="8452" max="8452" width="7.5546875" customWidth="1"/>
    <col min="8453" max="8453" width="7.33203125" customWidth="1"/>
    <col min="8454" max="8454" width="14.6640625" customWidth="1"/>
    <col min="8455" max="8455" width="7.109375" customWidth="1"/>
    <col min="8456" max="8456" width="7.44140625" customWidth="1"/>
    <col min="8458" max="8458" width="10.5546875" bestFit="1" customWidth="1"/>
    <col min="8459" max="8459" width="11.109375" bestFit="1" customWidth="1"/>
    <col min="8460" max="8460" width="10" bestFit="1" customWidth="1"/>
    <col min="8461" max="8462" width="10.5546875" bestFit="1" customWidth="1"/>
    <col min="8463" max="8463" width="10.5546875" customWidth="1"/>
    <col min="8464" max="8464" width="11.109375" bestFit="1" customWidth="1"/>
    <col min="8466" max="8466" width="14.88671875" bestFit="1" customWidth="1"/>
    <col min="8467" max="8467" width="10.5546875" bestFit="1" customWidth="1"/>
    <col min="8468" max="8468" width="10.6640625" customWidth="1"/>
    <col min="8469" max="8469" width="10.5546875" customWidth="1"/>
    <col min="8470" max="8470" width="10.33203125" customWidth="1"/>
    <col min="8471" max="8471" width="12.109375" customWidth="1"/>
    <col min="8472" max="8472" width="14.6640625" customWidth="1"/>
    <col min="8705" max="8705" width="23" customWidth="1"/>
    <col min="8706" max="8706" width="11" customWidth="1"/>
    <col min="8707" max="8707" width="6.88671875" customWidth="1"/>
    <col min="8708" max="8708" width="7.5546875" customWidth="1"/>
    <col min="8709" max="8709" width="7.33203125" customWidth="1"/>
    <col min="8710" max="8710" width="14.6640625" customWidth="1"/>
    <col min="8711" max="8711" width="7.109375" customWidth="1"/>
    <col min="8712" max="8712" width="7.44140625" customWidth="1"/>
    <col min="8714" max="8714" width="10.5546875" bestFit="1" customWidth="1"/>
    <col min="8715" max="8715" width="11.109375" bestFit="1" customWidth="1"/>
    <col min="8716" max="8716" width="10" bestFit="1" customWidth="1"/>
    <col min="8717" max="8718" width="10.5546875" bestFit="1" customWidth="1"/>
    <col min="8719" max="8719" width="10.5546875" customWidth="1"/>
    <col min="8720" max="8720" width="11.109375" bestFit="1" customWidth="1"/>
    <col min="8722" max="8722" width="14.88671875" bestFit="1" customWidth="1"/>
    <col min="8723" max="8723" width="10.5546875" bestFit="1" customWidth="1"/>
    <col min="8724" max="8724" width="10.6640625" customWidth="1"/>
    <col min="8725" max="8725" width="10.5546875" customWidth="1"/>
    <col min="8726" max="8726" width="10.33203125" customWidth="1"/>
    <col min="8727" max="8727" width="12.109375" customWidth="1"/>
    <col min="8728" max="8728" width="14.6640625" customWidth="1"/>
    <col min="8961" max="8961" width="23" customWidth="1"/>
    <col min="8962" max="8962" width="11" customWidth="1"/>
    <col min="8963" max="8963" width="6.88671875" customWidth="1"/>
    <col min="8964" max="8964" width="7.5546875" customWidth="1"/>
    <col min="8965" max="8965" width="7.33203125" customWidth="1"/>
    <col min="8966" max="8966" width="14.6640625" customWidth="1"/>
    <col min="8967" max="8967" width="7.109375" customWidth="1"/>
    <col min="8968" max="8968" width="7.44140625" customWidth="1"/>
    <col min="8970" max="8970" width="10.5546875" bestFit="1" customWidth="1"/>
    <col min="8971" max="8971" width="11.109375" bestFit="1" customWidth="1"/>
    <col min="8972" max="8972" width="10" bestFit="1" customWidth="1"/>
    <col min="8973" max="8974" width="10.5546875" bestFit="1" customWidth="1"/>
    <col min="8975" max="8975" width="10.5546875" customWidth="1"/>
    <col min="8976" max="8976" width="11.109375" bestFit="1" customWidth="1"/>
    <col min="8978" max="8978" width="14.88671875" bestFit="1" customWidth="1"/>
    <col min="8979" max="8979" width="10.5546875" bestFit="1" customWidth="1"/>
    <col min="8980" max="8980" width="10.6640625" customWidth="1"/>
    <col min="8981" max="8981" width="10.5546875" customWidth="1"/>
    <col min="8982" max="8982" width="10.33203125" customWidth="1"/>
    <col min="8983" max="8983" width="12.109375" customWidth="1"/>
    <col min="8984" max="8984" width="14.6640625" customWidth="1"/>
    <col min="9217" max="9217" width="23" customWidth="1"/>
    <col min="9218" max="9218" width="11" customWidth="1"/>
    <col min="9219" max="9219" width="6.88671875" customWidth="1"/>
    <col min="9220" max="9220" width="7.5546875" customWidth="1"/>
    <col min="9221" max="9221" width="7.33203125" customWidth="1"/>
    <col min="9222" max="9222" width="14.6640625" customWidth="1"/>
    <col min="9223" max="9223" width="7.109375" customWidth="1"/>
    <col min="9224" max="9224" width="7.44140625" customWidth="1"/>
    <col min="9226" max="9226" width="10.5546875" bestFit="1" customWidth="1"/>
    <col min="9227" max="9227" width="11.109375" bestFit="1" customWidth="1"/>
    <col min="9228" max="9228" width="10" bestFit="1" customWidth="1"/>
    <col min="9229" max="9230" width="10.5546875" bestFit="1" customWidth="1"/>
    <col min="9231" max="9231" width="10.5546875" customWidth="1"/>
    <col min="9232" max="9232" width="11.109375" bestFit="1" customWidth="1"/>
    <col min="9234" max="9234" width="14.88671875" bestFit="1" customWidth="1"/>
    <col min="9235" max="9235" width="10.5546875" bestFit="1" customWidth="1"/>
    <col min="9236" max="9236" width="10.6640625" customWidth="1"/>
    <col min="9237" max="9237" width="10.5546875" customWidth="1"/>
    <col min="9238" max="9238" width="10.33203125" customWidth="1"/>
    <col min="9239" max="9239" width="12.109375" customWidth="1"/>
    <col min="9240" max="9240" width="14.6640625" customWidth="1"/>
    <col min="9473" max="9473" width="23" customWidth="1"/>
    <col min="9474" max="9474" width="11" customWidth="1"/>
    <col min="9475" max="9475" width="6.88671875" customWidth="1"/>
    <col min="9476" max="9476" width="7.5546875" customWidth="1"/>
    <col min="9477" max="9477" width="7.33203125" customWidth="1"/>
    <col min="9478" max="9478" width="14.6640625" customWidth="1"/>
    <col min="9479" max="9479" width="7.109375" customWidth="1"/>
    <col min="9480" max="9480" width="7.44140625" customWidth="1"/>
    <col min="9482" max="9482" width="10.5546875" bestFit="1" customWidth="1"/>
    <col min="9483" max="9483" width="11.109375" bestFit="1" customWidth="1"/>
    <col min="9484" max="9484" width="10" bestFit="1" customWidth="1"/>
    <col min="9485" max="9486" width="10.5546875" bestFit="1" customWidth="1"/>
    <col min="9487" max="9487" width="10.5546875" customWidth="1"/>
    <col min="9488" max="9488" width="11.109375" bestFit="1" customWidth="1"/>
    <col min="9490" max="9490" width="14.88671875" bestFit="1" customWidth="1"/>
    <col min="9491" max="9491" width="10.5546875" bestFit="1" customWidth="1"/>
    <col min="9492" max="9492" width="10.6640625" customWidth="1"/>
    <col min="9493" max="9493" width="10.5546875" customWidth="1"/>
    <col min="9494" max="9494" width="10.33203125" customWidth="1"/>
    <col min="9495" max="9495" width="12.109375" customWidth="1"/>
    <col min="9496" max="9496" width="14.6640625" customWidth="1"/>
    <col min="9729" max="9729" width="23" customWidth="1"/>
    <col min="9730" max="9730" width="11" customWidth="1"/>
    <col min="9731" max="9731" width="6.88671875" customWidth="1"/>
    <col min="9732" max="9732" width="7.5546875" customWidth="1"/>
    <col min="9733" max="9733" width="7.33203125" customWidth="1"/>
    <col min="9734" max="9734" width="14.6640625" customWidth="1"/>
    <col min="9735" max="9735" width="7.109375" customWidth="1"/>
    <col min="9736" max="9736" width="7.44140625" customWidth="1"/>
    <col min="9738" max="9738" width="10.5546875" bestFit="1" customWidth="1"/>
    <col min="9739" max="9739" width="11.109375" bestFit="1" customWidth="1"/>
    <col min="9740" max="9740" width="10" bestFit="1" customWidth="1"/>
    <col min="9741" max="9742" width="10.5546875" bestFit="1" customWidth="1"/>
    <col min="9743" max="9743" width="10.5546875" customWidth="1"/>
    <col min="9744" max="9744" width="11.109375" bestFit="1" customWidth="1"/>
    <col min="9746" max="9746" width="14.88671875" bestFit="1" customWidth="1"/>
    <col min="9747" max="9747" width="10.5546875" bestFit="1" customWidth="1"/>
    <col min="9748" max="9748" width="10.6640625" customWidth="1"/>
    <col min="9749" max="9749" width="10.5546875" customWidth="1"/>
    <col min="9750" max="9750" width="10.33203125" customWidth="1"/>
    <col min="9751" max="9751" width="12.109375" customWidth="1"/>
    <col min="9752" max="9752" width="14.6640625" customWidth="1"/>
    <col min="9985" max="9985" width="23" customWidth="1"/>
    <col min="9986" max="9986" width="11" customWidth="1"/>
    <col min="9987" max="9987" width="6.88671875" customWidth="1"/>
    <col min="9988" max="9988" width="7.5546875" customWidth="1"/>
    <col min="9989" max="9989" width="7.33203125" customWidth="1"/>
    <col min="9990" max="9990" width="14.6640625" customWidth="1"/>
    <col min="9991" max="9991" width="7.109375" customWidth="1"/>
    <col min="9992" max="9992" width="7.44140625" customWidth="1"/>
    <col min="9994" max="9994" width="10.5546875" bestFit="1" customWidth="1"/>
    <col min="9995" max="9995" width="11.109375" bestFit="1" customWidth="1"/>
    <col min="9996" max="9996" width="10" bestFit="1" customWidth="1"/>
    <col min="9997" max="9998" width="10.5546875" bestFit="1" customWidth="1"/>
    <col min="9999" max="9999" width="10.5546875" customWidth="1"/>
    <col min="10000" max="10000" width="11.109375" bestFit="1" customWidth="1"/>
    <col min="10002" max="10002" width="14.88671875" bestFit="1" customWidth="1"/>
    <col min="10003" max="10003" width="10.5546875" bestFit="1" customWidth="1"/>
    <col min="10004" max="10004" width="10.6640625" customWidth="1"/>
    <col min="10005" max="10005" width="10.5546875" customWidth="1"/>
    <col min="10006" max="10006" width="10.33203125" customWidth="1"/>
    <col min="10007" max="10007" width="12.109375" customWidth="1"/>
    <col min="10008" max="10008" width="14.6640625" customWidth="1"/>
    <col min="10241" max="10241" width="23" customWidth="1"/>
    <col min="10242" max="10242" width="11" customWidth="1"/>
    <col min="10243" max="10243" width="6.88671875" customWidth="1"/>
    <col min="10244" max="10244" width="7.5546875" customWidth="1"/>
    <col min="10245" max="10245" width="7.33203125" customWidth="1"/>
    <col min="10246" max="10246" width="14.6640625" customWidth="1"/>
    <col min="10247" max="10247" width="7.109375" customWidth="1"/>
    <col min="10248" max="10248" width="7.44140625" customWidth="1"/>
    <col min="10250" max="10250" width="10.5546875" bestFit="1" customWidth="1"/>
    <col min="10251" max="10251" width="11.109375" bestFit="1" customWidth="1"/>
    <col min="10252" max="10252" width="10" bestFit="1" customWidth="1"/>
    <col min="10253" max="10254" width="10.5546875" bestFit="1" customWidth="1"/>
    <col min="10255" max="10255" width="10.5546875" customWidth="1"/>
    <col min="10256" max="10256" width="11.109375" bestFit="1" customWidth="1"/>
    <col min="10258" max="10258" width="14.88671875" bestFit="1" customWidth="1"/>
    <col min="10259" max="10259" width="10.5546875" bestFit="1" customWidth="1"/>
    <col min="10260" max="10260" width="10.6640625" customWidth="1"/>
    <col min="10261" max="10261" width="10.5546875" customWidth="1"/>
    <col min="10262" max="10262" width="10.33203125" customWidth="1"/>
    <col min="10263" max="10263" width="12.109375" customWidth="1"/>
    <col min="10264" max="10264" width="14.6640625" customWidth="1"/>
    <col min="10497" max="10497" width="23" customWidth="1"/>
    <col min="10498" max="10498" width="11" customWidth="1"/>
    <col min="10499" max="10499" width="6.88671875" customWidth="1"/>
    <col min="10500" max="10500" width="7.5546875" customWidth="1"/>
    <col min="10501" max="10501" width="7.33203125" customWidth="1"/>
    <col min="10502" max="10502" width="14.6640625" customWidth="1"/>
    <col min="10503" max="10503" width="7.109375" customWidth="1"/>
    <col min="10504" max="10504" width="7.44140625" customWidth="1"/>
    <col min="10506" max="10506" width="10.5546875" bestFit="1" customWidth="1"/>
    <col min="10507" max="10507" width="11.109375" bestFit="1" customWidth="1"/>
    <col min="10508" max="10508" width="10" bestFit="1" customWidth="1"/>
    <col min="10509" max="10510" width="10.5546875" bestFit="1" customWidth="1"/>
    <col min="10511" max="10511" width="10.5546875" customWidth="1"/>
    <col min="10512" max="10512" width="11.109375" bestFit="1" customWidth="1"/>
    <col min="10514" max="10514" width="14.88671875" bestFit="1" customWidth="1"/>
    <col min="10515" max="10515" width="10.5546875" bestFit="1" customWidth="1"/>
    <col min="10516" max="10516" width="10.6640625" customWidth="1"/>
    <col min="10517" max="10517" width="10.5546875" customWidth="1"/>
    <col min="10518" max="10518" width="10.33203125" customWidth="1"/>
    <col min="10519" max="10519" width="12.109375" customWidth="1"/>
    <col min="10520" max="10520" width="14.6640625" customWidth="1"/>
    <col min="10753" max="10753" width="23" customWidth="1"/>
    <col min="10754" max="10754" width="11" customWidth="1"/>
    <col min="10755" max="10755" width="6.88671875" customWidth="1"/>
    <col min="10756" max="10756" width="7.5546875" customWidth="1"/>
    <col min="10757" max="10757" width="7.33203125" customWidth="1"/>
    <col min="10758" max="10758" width="14.6640625" customWidth="1"/>
    <col min="10759" max="10759" width="7.109375" customWidth="1"/>
    <col min="10760" max="10760" width="7.44140625" customWidth="1"/>
    <col min="10762" max="10762" width="10.5546875" bestFit="1" customWidth="1"/>
    <col min="10763" max="10763" width="11.109375" bestFit="1" customWidth="1"/>
    <col min="10764" max="10764" width="10" bestFit="1" customWidth="1"/>
    <col min="10765" max="10766" width="10.5546875" bestFit="1" customWidth="1"/>
    <col min="10767" max="10767" width="10.5546875" customWidth="1"/>
    <col min="10768" max="10768" width="11.109375" bestFit="1" customWidth="1"/>
    <col min="10770" max="10770" width="14.88671875" bestFit="1" customWidth="1"/>
    <col min="10771" max="10771" width="10.5546875" bestFit="1" customWidth="1"/>
    <col min="10772" max="10772" width="10.6640625" customWidth="1"/>
    <col min="10773" max="10773" width="10.5546875" customWidth="1"/>
    <col min="10774" max="10774" width="10.33203125" customWidth="1"/>
    <col min="10775" max="10775" width="12.109375" customWidth="1"/>
    <col min="10776" max="10776" width="14.6640625" customWidth="1"/>
    <col min="11009" max="11009" width="23" customWidth="1"/>
    <col min="11010" max="11010" width="11" customWidth="1"/>
    <col min="11011" max="11011" width="6.88671875" customWidth="1"/>
    <col min="11012" max="11012" width="7.5546875" customWidth="1"/>
    <col min="11013" max="11013" width="7.33203125" customWidth="1"/>
    <col min="11014" max="11014" width="14.6640625" customWidth="1"/>
    <col min="11015" max="11015" width="7.109375" customWidth="1"/>
    <col min="11016" max="11016" width="7.44140625" customWidth="1"/>
    <col min="11018" max="11018" width="10.5546875" bestFit="1" customWidth="1"/>
    <col min="11019" max="11019" width="11.109375" bestFit="1" customWidth="1"/>
    <col min="11020" max="11020" width="10" bestFit="1" customWidth="1"/>
    <col min="11021" max="11022" width="10.5546875" bestFit="1" customWidth="1"/>
    <col min="11023" max="11023" width="10.5546875" customWidth="1"/>
    <col min="11024" max="11024" width="11.109375" bestFit="1" customWidth="1"/>
    <col min="11026" max="11026" width="14.88671875" bestFit="1" customWidth="1"/>
    <col min="11027" max="11027" width="10.5546875" bestFit="1" customWidth="1"/>
    <col min="11028" max="11028" width="10.6640625" customWidth="1"/>
    <col min="11029" max="11029" width="10.5546875" customWidth="1"/>
    <col min="11030" max="11030" width="10.33203125" customWidth="1"/>
    <col min="11031" max="11031" width="12.109375" customWidth="1"/>
    <col min="11032" max="11032" width="14.6640625" customWidth="1"/>
    <col min="11265" max="11265" width="23" customWidth="1"/>
    <col min="11266" max="11266" width="11" customWidth="1"/>
    <col min="11267" max="11267" width="6.88671875" customWidth="1"/>
    <col min="11268" max="11268" width="7.5546875" customWidth="1"/>
    <col min="11269" max="11269" width="7.33203125" customWidth="1"/>
    <col min="11270" max="11270" width="14.6640625" customWidth="1"/>
    <col min="11271" max="11271" width="7.109375" customWidth="1"/>
    <col min="11272" max="11272" width="7.44140625" customWidth="1"/>
    <col min="11274" max="11274" width="10.5546875" bestFit="1" customWidth="1"/>
    <col min="11275" max="11275" width="11.109375" bestFit="1" customWidth="1"/>
    <col min="11276" max="11276" width="10" bestFit="1" customWidth="1"/>
    <col min="11277" max="11278" width="10.5546875" bestFit="1" customWidth="1"/>
    <col min="11279" max="11279" width="10.5546875" customWidth="1"/>
    <col min="11280" max="11280" width="11.109375" bestFit="1" customWidth="1"/>
    <col min="11282" max="11282" width="14.88671875" bestFit="1" customWidth="1"/>
    <col min="11283" max="11283" width="10.5546875" bestFit="1" customWidth="1"/>
    <col min="11284" max="11284" width="10.6640625" customWidth="1"/>
    <col min="11285" max="11285" width="10.5546875" customWidth="1"/>
    <col min="11286" max="11286" width="10.33203125" customWidth="1"/>
    <col min="11287" max="11287" width="12.109375" customWidth="1"/>
    <col min="11288" max="11288" width="14.6640625" customWidth="1"/>
    <col min="11521" max="11521" width="23" customWidth="1"/>
    <col min="11522" max="11522" width="11" customWidth="1"/>
    <col min="11523" max="11523" width="6.88671875" customWidth="1"/>
    <col min="11524" max="11524" width="7.5546875" customWidth="1"/>
    <col min="11525" max="11525" width="7.33203125" customWidth="1"/>
    <col min="11526" max="11526" width="14.6640625" customWidth="1"/>
    <col min="11527" max="11527" width="7.109375" customWidth="1"/>
    <col min="11528" max="11528" width="7.44140625" customWidth="1"/>
    <col min="11530" max="11530" width="10.5546875" bestFit="1" customWidth="1"/>
    <col min="11531" max="11531" width="11.109375" bestFit="1" customWidth="1"/>
    <col min="11532" max="11532" width="10" bestFit="1" customWidth="1"/>
    <col min="11533" max="11534" width="10.5546875" bestFit="1" customWidth="1"/>
    <col min="11535" max="11535" width="10.5546875" customWidth="1"/>
    <col min="11536" max="11536" width="11.109375" bestFit="1" customWidth="1"/>
    <col min="11538" max="11538" width="14.88671875" bestFit="1" customWidth="1"/>
    <col min="11539" max="11539" width="10.5546875" bestFit="1" customWidth="1"/>
    <col min="11540" max="11540" width="10.6640625" customWidth="1"/>
    <col min="11541" max="11541" width="10.5546875" customWidth="1"/>
    <col min="11542" max="11542" width="10.33203125" customWidth="1"/>
    <col min="11543" max="11543" width="12.109375" customWidth="1"/>
    <col min="11544" max="11544" width="14.6640625" customWidth="1"/>
    <col min="11777" max="11777" width="23" customWidth="1"/>
    <col min="11778" max="11778" width="11" customWidth="1"/>
    <col min="11779" max="11779" width="6.88671875" customWidth="1"/>
    <col min="11780" max="11780" width="7.5546875" customWidth="1"/>
    <col min="11781" max="11781" width="7.33203125" customWidth="1"/>
    <col min="11782" max="11782" width="14.6640625" customWidth="1"/>
    <col min="11783" max="11783" width="7.109375" customWidth="1"/>
    <col min="11784" max="11784" width="7.44140625" customWidth="1"/>
    <col min="11786" max="11786" width="10.5546875" bestFit="1" customWidth="1"/>
    <col min="11787" max="11787" width="11.109375" bestFit="1" customWidth="1"/>
    <col min="11788" max="11788" width="10" bestFit="1" customWidth="1"/>
    <col min="11789" max="11790" width="10.5546875" bestFit="1" customWidth="1"/>
    <col min="11791" max="11791" width="10.5546875" customWidth="1"/>
    <col min="11792" max="11792" width="11.109375" bestFit="1" customWidth="1"/>
    <col min="11794" max="11794" width="14.88671875" bestFit="1" customWidth="1"/>
    <col min="11795" max="11795" width="10.5546875" bestFit="1" customWidth="1"/>
    <col min="11796" max="11796" width="10.6640625" customWidth="1"/>
    <col min="11797" max="11797" width="10.5546875" customWidth="1"/>
    <col min="11798" max="11798" width="10.33203125" customWidth="1"/>
    <col min="11799" max="11799" width="12.109375" customWidth="1"/>
    <col min="11800" max="11800" width="14.6640625" customWidth="1"/>
    <col min="12033" max="12033" width="23" customWidth="1"/>
    <col min="12034" max="12034" width="11" customWidth="1"/>
    <col min="12035" max="12035" width="6.88671875" customWidth="1"/>
    <col min="12036" max="12036" width="7.5546875" customWidth="1"/>
    <col min="12037" max="12037" width="7.33203125" customWidth="1"/>
    <col min="12038" max="12038" width="14.6640625" customWidth="1"/>
    <col min="12039" max="12039" width="7.109375" customWidth="1"/>
    <col min="12040" max="12040" width="7.44140625" customWidth="1"/>
    <col min="12042" max="12042" width="10.5546875" bestFit="1" customWidth="1"/>
    <col min="12043" max="12043" width="11.109375" bestFit="1" customWidth="1"/>
    <col min="12044" max="12044" width="10" bestFit="1" customWidth="1"/>
    <col min="12045" max="12046" width="10.5546875" bestFit="1" customWidth="1"/>
    <col min="12047" max="12047" width="10.5546875" customWidth="1"/>
    <col min="12048" max="12048" width="11.109375" bestFit="1" customWidth="1"/>
    <col min="12050" max="12050" width="14.88671875" bestFit="1" customWidth="1"/>
    <col min="12051" max="12051" width="10.5546875" bestFit="1" customWidth="1"/>
    <col min="12052" max="12052" width="10.6640625" customWidth="1"/>
    <col min="12053" max="12053" width="10.5546875" customWidth="1"/>
    <col min="12054" max="12054" width="10.33203125" customWidth="1"/>
    <col min="12055" max="12055" width="12.109375" customWidth="1"/>
    <col min="12056" max="12056" width="14.6640625" customWidth="1"/>
    <col min="12289" max="12289" width="23" customWidth="1"/>
    <col min="12290" max="12290" width="11" customWidth="1"/>
    <col min="12291" max="12291" width="6.88671875" customWidth="1"/>
    <col min="12292" max="12292" width="7.5546875" customWidth="1"/>
    <col min="12293" max="12293" width="7.33203125" customWidth="1"/>
    <col min="12294" max="12294" width="14.6640625" customWidth="1"/>
    <col min="12295" max="12295" width="7.109375" customWidth="1"/>
    <col min="12296" max="12296" width="7.44140625" customWidth="1"/>
    <col min="12298" max="12298" width="10.5546875" bestFit="1" customWidth="1"/>
    <col min="12299" max="12299" width="11.109375" bestFit="1" customWidth="1"/>
    <col min="12300" max="12300" width="10" bestFit="1" customWidth="1"/>
    <col min="12301" max="12302" width="10.5546875" bestFit="1" customWidth="1"/>
    <col min="12303" max="12303" width="10.5546875" customWidth="1"/>
    <col min="12304" max="12304" width="11.109375" bestFit="1" customWidth="1"/>
    <col min="12306" max="12306" width="14.88671875" bestFit="1" customWidth="1"/>
    <col min="12307" max="12307" width="10.5546875" bestFit="1" customWidth="1"/>
    <col min="12308" max="12308" width="10.6640625" customWidth="1"/>
    <col min="12309" max="12309" width="10.5546875" customWidth="1"/>
    <col min="12310" max="12310" width="10.33203125" customWidth="1"/>
    <col min="12311" max="12311" width="12.109375" customWidth="1"/>
    <col min="12312" max="12312" width="14.6640625" customWidth="1"/>
    <col min="12545" max="12545" width="23" customWidth="1"/>
    <col min="12546" max="12546" width="11" customWidth="1"/>
    <col min="12547" max="12547" width="6.88671875" customWidth="1"/>
    <col min="12548" max="12548" width="7.5546875" customWidth="1"/>
    <col min="12549" max="12549" width="7.33203125" customWidth="1"/>
    <col min="12550" max="12550" width="14.6640625" customWidth="1"/>
    <col min="12551" max="12551" width="7.109375" customWidth="1"/>
    <col min="12552" max="12552" width="7.44140625" customWidth="1"/>
    <col min="12554" max="12554" width="10.5546875" bestFit="1" customWidth="1"/>
    <col min="12555" max="12555" width="11.109375" bestFit="1" customWidth="1"/>
    <col min="12556" max="12556" width="10" bestFit="1" customWidth="1"/>
    <col min="12557" max="12558" width="10.5546875" bestFit="1" customWidth="1"/>
    <col min="12559" max="12559" width="10.5546875" customWidth="1"/>
    <col min="12560" max="12560" width="11.109375" bestFit="1" customWidth="1"/>
    <col min="12562" max="12562" width="14.88671875" bestFit="1" customWidth="1"/>
    <col min="12563" max="12563" width="10.5546875" bestFit="1" customWidth="1"/>
    <col min="12564" max="12564" width="10.6640625" customWidth="1"/>
    <col min="12565" max="12565" width="10.5546875" customWidth="1"/>
    <col min="12566" max="12566" width="10.33203125" customWidth="1"/>
    <col min="12567" max="12567" width="12.109375" customWidth="1"/>
    <col min="12568" max="12568" width="14.6640625" customWidth="1"/>
    <col min="12801" max="12801" width="23" customWidth="1"/>
    <col min="12802" max="12802" width="11" customWidth="1"/>
    <col min="12803" max="12803" width="6.88671875" customWidth="1"/>
    <col min="12804" max="12804" width="7.5546875" customWidth="1"/>
    <col min="12805" max="12805" width="7.33203125" customWidth="1"/>
    <col min="12806" max="12806" width="14.6640625" customWidth="1"/>
    <col min="12807" max="12807" width="7.109375" customWidth="1"/>
    <col min="12808" max="12808" width="7.44140625" customWidth="1"/>
    <col min="12810" max="12810" width="10.5546875" bestFit="1" customWidth="1"/>
    <col min="12811" max="12811" width="11.109375" bestFit="1" customWidth="1"/>
    <col min="12812" max="12812" width="10" bestFit="1" customWidth="1"/>
    <col min="12813" max="12814" width="10.5546875" bestFit="1" customWidth="1"/>
    <col min="12815" max="12815" width="10.5546875" customWidth="1"/>
    <col min="12816" max="12816" width="11.109375" bestFit="1" customWidth="1"/>
    <col min="12818" max="12818" width="14.88671875" bestFit="1" customWidth="1"/>
    <col min="12819" max="12819" width="10.5546875" bestFit="1" customWidth="1"/>
    <col min="12820" max="12820" width="10.6640625" customWidth="1"/>
    <col min="12821" max="12821" width="10.5546875" customWidth="1"/>
    <col min="12822" max="12822" width="10.33203125" customWidth="1"/>
    <col min="12823" max="12823" width="12.109375" customWidth="1"/>
    <col min="12824" max="12824" width="14.6640625" customWidth="1"/>
    <col min="13057" max="13057" width="23" customWidth="1"/>
    <col min="13058" max="13058" width="11" customWidth="1"/>
    <col min="13059" max="13059" width="6.88671875" customWidth="1"/>
    <col min="13060" max="13060" width="7.5546875" customWidth="1"/>
    <col min="13061" max="13061" width="7.33203125" customWidth="1"/>
    <col min="13062" max="13062" width="14.6640625" customWidth="1"/>
    <col min="13063" max="13063" width="7.109375" customWidth="1"/>
    <col min="13064" max="13064" width="7.44140625" customWidth="1"/>
    <col min="13066" max="13066" width="10.5546875" bestFit="1" customWidth="1"/>
    <col min="13067" max="13067" width="11.109375" bestFit="1" customWidth="1"/>
    <col min="13068" max="13068" width="10" bestFit="1" customWidth="1"/>
    <col min="13069" max="13070" width="10.5546875" bestFit="1" customWidth="1"/>
    <col min="13071" max="13071" width="10.5546875" customWidth="1"/>
    <col min="13072" max="13072" width="11.109375" bestFit="1" customWidth="1"/>
    <col min="13074" max="13074" width="14.88671875" bestFit="1" customWidth="1"/>
    <col min="13075" max="13075" width="10.5546875" bestFit="1" customWidth="1"/>
    <col min="13076" max="13076" width="10.6640625" customWidth="1"/>
    <col min="13077" max="13077" width="10.5546875" customWidth="1"/>
    <col min="13078" max="13078" width="10.33203125" customWidth="1"/>
    <col min="13079" max="13079" width="12.109375" customWidth="1"/>
    <col min="13080" max="13080" width="14.6640625" customWidth="1"/>
    <col min="13313" max="13313" width="23" customWidth="1"/>
    <col min="13314" max="13314" width="11" customWidth="1"/>
    <col min="13315" max="13315" width="6.88671875" customWidth="1"/>
    <col min="13316" max="13316" width="7.5546875" customWidth="1"/>
    <col min="13317" max="13317" width="7.33203125" customWidth="1"/>
    <col min="13318" max="13318" width="14.6640625" customWidth="1"/>
    <col min="13319" max="13319" width="7.109375" customWidth="1"/>
    <col min="13320" max="13320" width="7.44140625" customWidth="1"/>
    <col min="13322" max="13322" width="10.5546875" bestFit="1" customWidth="1"/>
    <col min="13323" max="13323" width="11.109375" bestFit="1" customWidth="1"/>
    <col min="13324" max="13324" width="10" bestFit="1" customWidth="1"/>
    <col min="13325" max="13326" width="10.5546875" bestFit="1" customWidth="1"/>
    <col min="13327" max="13327" width="10.5546875" customWidth="1"/>
    <col min="13328" max="13328" width="11.109375" bestFit="1" customWidth="1"/>
    <col min="13330" max="13330" width="14.88671875" bestFit="1" customWidth="1"/>
    <col min="13331" max="13331" width="10.5546875" bestFit="1" customWidth="1"/>
    <col min="13332" max="13332" width="10.6640625" customWidth="1"/>
    <col min="13333" max="13333" width="10.5546875" customWidth="1"/>
    <col min="13334" max="13334" width="10.33203125" customWidth="1"/>
    <col min="13335" max="13335" width="12.109375" customWidth="1"/>
    <col min="13336" max="13336" width="14.6640625" customWidth="1"/>
    <col min="13569" max="13569" width="23" customWidth="1"/>
    <col min="13570" max="13570" width="11" customWidth="1"/>
    <col min="13571" max="13571" width="6.88671875" customWidth="1"/>
    <col min="13572" max="13572" width="7.5546875" customWidth="1"/>
    <col min="13573" max="13573" width="7.33203125" customWidth="1"/>
    <col min="13574" max="13574" width="14.6640625" customWidth="1"/>
    <col min="13575" max="13575" width="7.109375" customWidth="1"/>
    <col min="13576" max="13576" width="7.44140625" customWidth="1"/>
    <col min="13578" max="13578" width="10.5546875" bestFit="1" customWidth="1"/>
    <col min="13579" max="13579" width="11.109375" bestFit="1" customWidth="1"/>
    <col min="13580" max="13580" width="10" bestFit="1" customWidth="1"/>
    <col min="13581" max="13582" width="10.5546875" bestFit="1" customWidth="1"/>
    <col min="13583" max="13583" width="10.5546875" customWidth="1"/>
    <col min="13584" max="13584" width="11.109375" bestFit="1" customWidth="1"/>
    <col min="13586" max="13586" width="14.88671875" bestFit="1" customWidth="1"/>
    <col min="13587" max="13587" width="10.5546875" bestFit="1" customWidth="1"/>
    <col min="13588" max="13588" width="10.6640625" customWidth="1"/>
    <col min="13589" max="13589" width="10.5546875" customWidth="1"/>
    <col min="13590" max="13590" width="10.33203125" customWidth="1"/>
    <col min="13591" max="13591" width="12.109375" customWidth="1"/>
    <col min="13592" max="13592" width="14.6640625" customWidth="1"/>
    <col min="13825" max="13825" width="23" customWidth="1"/>
    <col min="13826" max="13826" width="11" customWidth="1"/>
    <col min="13827" max="13827" width="6.88671875" customWidth="1"/>
    <col min="13828" max="13828" width="7.5546875" customWidth="1"/>
    <col min="13829" max="13829" width="7.33203125" customWidth="1"/>
    <col min="13830" max="13830" width="14.6640625" customWidth="1"/>
    <col min="13831" max="13831" width="7.109375" customWidth="1"/>
    <col min="13832" max="13832" width="7.44140625" customWidth="1"/>
    <col min="13834" max="13834" width="10.5546875" bestFit="1" customWidth="1"/>
    <col min="13835" max="13835" width="11.109375" bestFit="1" customWidth="1"/>
    <col min="13836" max="13836" width="10" bestFit="1" customWidth="1"/>
    <col min="13837" max="13838" width="10.5546875" bestFit="1" customWidth="1"/>
    <col min="13839" max="13839" width="10.5546875" customWidth="1"/>
    <col min="13840" max="13840" width="11.109375" bestFit="1" customWidth="1"/>
    <col min="13842" max="13842" width="14.88671875" bestFit="1" customWidth="1"/>
    <col min="13843" max="13843" width="10.5546875" bestFit="1" customWidth="1"/>
    <col min="13844" max="13844" width="10.6640625" customWidth="1"/>
    <col min="13845" max="13845" width="10.5546875" customWidth="1"/>
    <col min="13846" max="13846" width="10.33203125" customWidth="1"/>
    <col min="13847" max="13847" width="12.109375" customWidth="1"/>
    <col min="13848" max="13848" width="14.6640625" customWidth="1"/>
    <col min="14081" max="14081" width="23" customWidth="1"/>
    <col min="14082" max="14082" width="11" customWidth="1"/>
    <col min="14083" max="14083" width="6.88671875" customWidth="1"/>
    <col min="14084" max="14084" width="7.5546875" customWidth="1"/>
    <col min="14085" max="14085" width="7.33203125" customWidth="1"/>
    <col min="14086" max="14086" width="14.6640625" customWidth="1"/>
    <col min="14087" max="14087" width="7.109375" customWidth="1"/>
    <col min="14088" max="14088" width="7.44140625" customWidth="1"/>
    <col min="14090" max="14090" width="10.5546875" bestFit="1" customWidth="1"/>
    <col min="14091" max="14091" width="11.109375" bestFit="1" customWidth="1"/>
    <col min="14092" max="14092" width="10" bestFit="1" customWidth="1"/>
    <col min="14093" max="14094" width="10.5546875" bestFit="1" customWidth="1"/>
    <col min="14095" max="14095" width="10.5546875" customWidth="1"/>
    <col min="14096" max="14096" width="11.109375" bestFit="1" customWidth="1"/>
    <col min="14098" max="14098" width="14.88671875" bestFit="1" customWidth="1"/>
    <col min="14099" max="14099" width="10.5546875" bestFit="1" customWidth="1"/>
    <col min="14100" max="14100" width="10.6640625" customWidth="1"/>
    <col min="14101" max="14101" width="10.5546875" customWidth="1"/>
    <col min="14102" max="14102" width="10.33203125" customWidth="1"/>
    <col min="14103" max="14103" width="12.109375" customWidth="1"/>
    <col min="14104" max="14104" width="14.6640625" customWidth="1"/>
    <col min="14337" max="14337" width="23" customWidth="1"/>
    <col min="14338" max="14338" width="11" customWidth="1"/>
    <col min="14339" max="14339" width="6.88671875" customWidth="1"/>
    <col min="14340" max="14340" width="7.5546875" customWidth="1"/>
    <col min="14341" max="14341" width="7.33203125" customWidth="1"/>
    <col min="14342" max="14342" width="14.6640625" customWidth="1"/>
    <col min="14343" max="14343" width="7.109375" customWidth="1"/>
    <col min="14344" max="14344" width="7.44140625" customWidth="1"/>
    <col min="14346" max="14346" width="10.5546875" bestFit="1" customWidth="1"/>
    <col min="14347" max="14347" width="11.109375" bestFit="1" customWidth="1"/>
    <col min="14348" max="14348" width="10" bestFit="1" customWidth="1"/>
    <col min="14349" max="14350" width="10.5546875" bestFit="1" customWidth="1"/>
    <col min="14351" max="14351" width="10.5546875" customWidth="1"/>
    <col min="14352" max="14352" width="11.109375" bestFit="1" customWidth="1"/>
    <col min="14354" max="14354" width="14.88671875" bestFit="1" customWidth="1"/>
    <col min="14355" max="14355" width="10.5546875" bestFit="1" customWidth="1"/>
    <col min="14356" max="14356" width="10.6640625" customWidth="1"/>
    <col min="14357" max="14357" width="10.5546875" customWidth="1"/>
    <col min="14358" max="14358" width="10.33203125" customWidth="1"/>
    <col min="14359" max="14359" width="12.109375" customWidth="1"/>
    <col min="14360" max="14360" width="14.6640625" customWidth="1"/>
    <col min="14593" max="14593" width="23" customWidth="1"/>
    <col min="14594" max="14594" width="11" customWidth="1"/>
    <col min="14595" max="14595" width="6.88671875" customWidth="1"/>
    <col min="14596" max="14596" width="7.5546875" customWidth="1"/>
    <col min="14597" max="14597" width="7.33203125" customWidth="1"/>
    <col min="14598" max="14598" width="14.6640625" customWidth="1"/>
    <col min="14599" max="14599" width="7.109375" customWidth="1"/>
    <col min="14600" max="14600" width="7.44140625" customWidth="1"/>
    <col min="14602" max="14602" width="10.5546875" bestFit="1" customWidth="1"/>
    <col min="14603" max="14603" width="11.109375" bestFit="1" customWidth="1"/>
    <col min="14604" max="14604" width="10" bestFit="1" customWidth="1"/>
    <col min="14605" max="14606" width="10.5546875" bestFit="1" customWidth="1"/>
    <col min="14607" max="14607" width="10.5546875" customWidth="1"/>
    <col min="14608" max="14608" width="11.109375" bestFit="1" customWidth="1"/>
    <col min="14610" max="14610" width="14.88671875" bestFit="1" customWidth="1"/>
    <col min="14611" max="14611" width="10.5546875" bestFit="1" customWidth="1"/>
    <col min="14612" max="14612" width="10.6640625" customWidth="1"/>
    <col min="14613" max="14613" width="10.5546875" customWidth="1"/>
    <col min="14614" max="14614" width="10.33203125" customWidth="1"/>
    <col min="14615" max="14615" width="12.109375" customWidth="1"/>
    <col min="14616" max="14616" width="14.6640625" customWidth="1"/>
    <col min="14849" max="14849" width="23" customWidth="1"/>
    <col min="14850" max="14850" width="11" customWidth="1"/>
    <col min="14851" max="14851" width="6.88671875" customWidth="1"/>
    <col min="14852" max="14852" width="7.5546875" customWidth="1"/>
    <col min="14853" max="14853" width="7.33203125" customWidth="1"/>
    <col min="14854" max="14854" width="14.6640625" customWidth="1"/>
    <col min="14855" max="14855" width="7.109375" customWidth="1"/>
    <col min="14856" max="14856" width="7.44140625" customWidth="1"/>
    <col min="14858" max="14858" width="10.5546875" bestFit="1" customWidth="1"/>
    <col min="14859" max="14859" width="11.109375" bestFit="1" customWidth="1"/>
    <col min="14860" max="14860" width="10" bestFit="1" customWidth="1"/>
    <col min="14861" max="14862" width="10.5546875" bestFit="1" customWidth="1"/>
    <col min="14863" max="14863" width="10.5546875" customWidth="1"/>
    <col min="14864" max="14864" width="11.109375" bestFit="1" customWidth="1"/>
    <col min="14866" max="14866" width="14.88671875" bestFit="1" customWidth="1"/>
    <col min="14867" max="14867" width="10.5546875" bestFit="1" customWidth="1"/>
    <col min="14868" max="14868" width="10.6640625" customWidth="1"/>
    <col min="14869" max="14869" width="10.5546875" customWidth="1"/>
    <col min="14870" max="14870" width="10.33203125" customWidth="1"/>
    <col min="14871" max="14871" width="12.109375" customWidth="1"/>
    <col min="14872" max="14872" width="14.6640625" customWidth="1"/>
    <col min="15105" max="15105" width="23" customWidth="1"/>
    <col min="15106" max="15106" width="11" customWidth="1"/>
    <col min="15107" max="15107" width="6.88671875" customWidth="1"/>
    <col min="15108" max="15108" width="7.5546875" customWidth="1"/>
    <col min="15109" max="15109" width="7.33203125" customWidth="1"/>
    <col min="15110" max="15110" width="14.6640625" customWidth="1"/>
    <col min="15111" max="15111" width="7.109375" customWidth="1"/>
    <col min="15112" max="15112" width="7.44140625" customWidth="1"/>
    <col min="15114" max="15114" width="10.5546875" bestFit="1" customWidth="1"/>
    <col min="15115" max="15115" width="11.109375" bestFit="1" customWidth="1"/>
    <col min="15116" max="15116" width="10" bestFit="1" customWidth="1"/>
    <col min="15117" max="15118" width="10.5546875" bestFit="1" customWidth="1"/>
    <col min="15119" max="15119" width="10.5546875" customWidth="1"/>
    <col min="15120" max="15120" width="11.109375" bestFit="1" customWidth="1"/>
    <col min="15122" max="15122" width="14.88671875" bestFit="1" customWidth="1"/>
    <col min="15123" max="15123" width="10.5546875" bestFit="1" customWidth="1"/>
    <col min="15124" max="15124" width="10.6640625" customWidth="1"/>
    <col min="15125" max="15125" width="10.5546875" customWidth="1"/>
    <col min="15126" max="15126" width="10.33203125" customWidth="1"/>
    <col min="15127" max="15127" width="12.109375" customWidth="1"/>
    <col min="15128" max="15128" width="14.6640625" customWidth="1"/>
    <col min="15361" max="15361" width="23" customWidth="1"/>
    <col min="15362" max="15362" width="11" customWidth="1"/>
    <col min="15363" max="15363" width="6.88671875" customWidth="1"/>
    <col min="15364" max="15364" width="7.5546875" customWidth="1"/>
    <col min="15365" max="15365" width="7.33203125" customWidth="1"/>
    <col min="15366" max="15366" width="14.6640625" customWidth="1"/>
    <col min="15367" max="15367" width="7.109375" customWidth="1"/>
    <col min="15368" max="15368" width="7.44140625" customWidth="1"/>
    <col min="15370" max="15370" width="10.5546875" bestFit="1" customWidth="1"/>
    <col min="15371" max="15371" width="11.109375" bestFit="1" customWidth="1"/>
    <col min="15372" max="15372" width="10" bestFit="1" customWidth="1"/>
    <col min="15373" max="15374" width="10.5546875" bestFit="1" customWidth="1"/>
    <col min="15375" max="15375" width="10.5546875" customWidth="1"/>
    <col min="15376" max="15376" width="11.109375" bestFit="1" customWidth="1"/>
    <col min="15378" max="15378" width="14.88671875" bestFit="1" customWidth="1"/>
    <col min="15379" max="15379" width="10.5546875" bestFit="1" customWidth="1"/>
    <col min="15380" max="15380" width="10.6640625" customWidth="1"/>
    <col min="15381" max="15381" width="10.5546875" customWidth="1"/>
    <col min="15382" max="15382" width="10.33203125" customWidth="1"/>
    <col min="15383" max="15383" width="12.109375" customWidth="1"/>
    <col min="15384" max="15384" width="14.6640625" customWidth="1"/>
    <col min="15617" max="15617" width="23" customWidth="1"/>
    <col min="15618" max="15618" width="11" customWidth="1"/>
    <col min="15619" max="15619" width="6.88671875" customWidth="1"/>
    <col min="15620" max="15620" width="7.5546875" customWidth="1"/>
    <col min="15621" max="15621" width="7.33203125" customWidth="1"/>
    <col min="15622" max="15622" width="14.6640625" customWidth="1"/>
    <col min="15623" max="15623" width="7.109375" customWidth="1"/>
    <col min="15624" max="15624" width="7.44140625" customWidth="1"/>
    <col min="15626" max="15626" width="10.5546875" bestFit="1" customWidth="1"/>
    <col min="15627" max="15627" width="11.109375" bestFit="1" customWidth="1"/>
    <col min="15628" max="15628" width="10" bestFit="1" customWidth="1"/>
    <col min="15629" max="15630" width="10.5546875" bestFit="1" customWidth="1"/>
    <col min="15631" max="15631" width="10.5546875" customWidth="1"/>
    <col min="15632" max="15632" width="11.109375" bestFit="1" customWidth="1"/>
    <col min="15634" max="15634" width="14.88671875" bestFit="1" customWidth="1"/>
    <col min="15635" max="15635" width="10.5546875" bestFit="1" customWidth="1"/>
    <col min="15636" max="15636" width="10.6640625" customWidth="1"/>
    <col min="15637" max="15637" width="10.5546875" customWidth="1"/>
    <col min="15638" max="15638" width="10.33203125" customWidth="1"/>
    <col min="15639" max="15639" width="12.109375" customWidth="1"/>
    <col min="15640" max="15640" width="14.6640625" customWidth="1"/>
    <col min="15873" max="15873" width="23" customWidth="1"/>
    <col min="15874" max="15874" width="11" customWidth="1"/>
    <col min="15875" max="15875" width="6.88671875" customWidth="1"/>
    <col min="15876" max="15876" width="7.5546875" customWidth="1"/>
    <col min="15877" max="15877" width="7.33203125" customWidth="1"/>
    <col min="15878" max="15878" width="14.6640625" customWidth="1"/>
    <col min="15879" max="15879" width="7.109375" customWidth="1"/>
    <col min="15880" max="15880" width="7.44140625" customWidth="1"/>
    <col min="15882" max="15882" width="10.5546875" bestFit="1" customWidth="1"/>
    <col min="15883" max="15883" width="11.109375" bestFit="1" customWidth="1"/>
    <col min="15884" max="15884" width="10" bestFit="1" customWidth="1"/>
    <col min="15885" max="15886" width="10.5546875" bestFit="1" customWidth="1"/>
    <col min="15887" max="15887" width="10.5546875" customWidth="1"/>
    <col min="15888" max="15888" width="11.109375" bestFit="1" customWidth="1"/>
    <col min="15890" max="15890" width="14.88671875" bestFit="1" customWidth="1"/>
    <col min="15891" max="15891" width="10.5546875" bestFit="1" customWidth="1"/>
    <col min="15892" max="15892" width="10.6640625" customWidth="1"/>
    <col min="15893" max="15893" width="10.5546875" customWidth="1"/>
    <col min="15894" max="15894" width="10.33203125" customWidth="1"/>
    <col min="15895" max="15895" width="12.109375" customWidth="1"/>
    <col min="15896" max="15896" width="14.6640625" customWidth="1"/>
    <col min="16129" max="16129" width="23" customWidth="1"/>
    <col min="16130" max="16130" width="11" customWidth="1"/>
    <col min="16131" max="16131" width="6.88671875" customWidth="1"/>
    <col min="16132" max="16132" width="7.5546875" customWidth="1"/>
    <col min="16133" max="16133" width="7.33203125" customWidth="1"/>
    <col min="16134" max="16134" width="14.6640625" customWidth="1"/>
    <col min="16135" max="16135" width="7.109375" customWidth="1"/>
    <col min="16136" max="16136" width="7.44140625" customWidth="1"/>
    <col min="16138" max="16138" width="10.5546875" bestFit="1" customWidth="1"/>
    <col min="16139" max="16139" width="11.109375" bestFit="1" customWidth="1"/>
    <col min="16140" max="16140" width="10" bestFit="1" customWidth="1"/>
    <col min="16141" max="16142" width="10.5546875" bestFit="1" customWidth="1"/>
    <col min="16143" max="16143" width="10.5546875" customWidth="1"/>
    <col min="16144" max="16144" width="11.109375" bestFit="1" customWidth="1"/>
    <col min="16146" max="16146" width="14.88671875" bestFit="1" customWidth="1"/>
    <col min="16147" max="16147" width="10.5546875" bestFit="1" customWidth="1"/>
    <col min="16148" max="16148" width="10.6640625" customWidth="1"/>
    <col min="16149" max="16149" width="10.5546875" customWidth="1"/>
    <col min="16150" max="16150" width="10.33203125" customWidth="1"/>
    <col min="16151" max="16151" width="12.109375" customWidth="1"/>
    <col min="16152" max="16152" width="14.6640625" customWidth="1"/>
  </cols>
  <sheetData>
    <row r="1" spans="1:33" s="460" customFormat="1" ht="13.8" x14ac:dyDescent="0.3">
      <c r="A1" s="793" t="s">
        <v>489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9"/>
    </row>
    <row r="2" spans="1:33" s="466" customFormat="1" ht="13.8" x14ac:dyDescent="0.3">
      <c r="A2" s="461" t="s">
        <v>490</v>
      </c>
      <c r="B2" s="795" t="s">
        <v>491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462"/>
      <c r="R2" s="462"/>
      <c r="S2" s="463" t="s">
        <v>69</v>
      </c>
      <c r="T2" s="462"/>
      <c r="U2" s="464"/>
      <c r="V2" s="462"/>
      <c r="W2" s="462"/>
      <c r="X2" s="462"/>
      <c r="Y2" s="465"/>
      <c r="Z2" s="465"/>
      <c r="AA2" s="465"/>
      <c r="AB2" s="465"/>
      <c r="AC2" s="465"/>
      <c r="AD2" s="465"/>
      <c r="AE2" s="465"/>
      <c r="AF2" s="465"/>
    </row>
    <row r="3" spans="1:33" s="466" customFormat="1" ht="13.8" x14ac:dyDescent="0.3">
      <c r="A3" s="461" t="s">
        <v>492</v>
      </c>
      <c r="B3" s="795" t="s">
        <v>452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465"/>
      <c r="Z3" s="465"/>
      <c r="AA3" s="465"/>
      <c r="AB3" s="465"/>
      <c r="AC3" s="465"/>
      <c r="AD3" s="465"/>
      <c r="AE3" s="465"/>
      <c r="AF3" s="465"/>
    </row>
    <row r="4" spans="1:33" s="466" customFormat="1" ht="13.8" x14ac:dyDescent="0.3">
      <c r="A4" s="467" t="s">
        <v>6</v>
      </c>
      <c r="B4" s="795" t="s">
        <v>454</v>
      </c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795"/>
      <c r="Y4" s="465"/>
      <c r="Z4" s="465"/>
      <c r="AA4" s="465"/>
      <c r="AB4" s="465"/>
      <c r="AC4" s="465"/>
      <c r="AD4" s="465"/>
      <c r="AE4" s="465"/>
      <c r="AF4" s="465"/>
      <c r="AG4" s="465"/>
    </row>
    <row r="5" spans="1:33" s="460" customFormat="1" ht="13.8" x14ac:dyDescent="0.3">
      <c r="A5" s="802" t="s">
        <v>8</v>
      </c>
      <c r="B5" s="798" t="s">
        <v>21</v>
      </c>
      <c r="C5" s="797" t="s">
        <v>73</v>
      </c>
      <c r="D5" s="797"/>
      <c r="E5" s="797"/>
      <c r="F5" s="797"/>
      <c r="G5" s="797"/>
      <c r="H5" s="797"/>
      <c r="I5" s="798" t="s">
        <v>13</v>
      </c>
      <c r="J5" s="803" t="s">
        <v>14</v>
      </c>
      <c r="K5" s="803"/>
      <c r="L5" s="797" t="s">
        <v>448</v>
      </c>
      <c r="M5" s="797"/>
      <c r="N5" s="797"/>
      <c r="O5" s="797"/>
      <c r="P5" s="797"/>
      <c r="Q5" s="797"/>
      <c r="R5" s="797" t="s">
        <v>18</v>
      </c>
      <c r="S5" s="797"/>
      <c r="T5" s="797"/>
      <c r="U5" s="797" t="s">
        <v>20</v>
      </c>
      <c r="V5" s="797"/>
      <c r="W5" s="797"/>
      <c r="X5" s="797"/>
    </row>
    <row r="6" spans="1:33" s="460" customFormat="1" ht="13.8" x14ac:dyDescent="0.3">
      <c r="A6" s="802"/>
      <c r="B6" s="798"/>
      <c r="C6" s="797"/>
      <c r="D6" s="797"/>
      <c r="E6" s="797"/>
      <c r="F6" s="797"/>
      <c r="G6" s="797"/>
      <c r="H6" s="797"/>
      <c r="I6" s="798"/>
      <c r="J6" s="803"/>
      <c r="K6" s="803"/>
      <c r="L6" s="797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797"/>
    </row>
    <row r="7" spans="1:33" s="460" customFormat="1" ht="39.6" x14ac:dyDescent="0.3">
      <c r="A7" s="802"/>
      <c r="B7" s="798"/>
      <c r="C7" s="797"/>
      <c r="D7" s="797"/>
      <c r="E7" s="797"/>
      <c r="F7" s="797"/>
      <c r="G7" s="797"/>
      <c r="H7" s="797"/>
      <c r="I7" s="798"/>
      <c r="J7" s="803"/>
      <c r="K7" s="803"/>
      <c r="L7" s="468" t="s">
        <v>15</v>
      </c>
      <c r="M7" s="797" t="s">
        <v>16</v>
      </c>
      <c r="N7" s="797"/>
      <c r="O7" s="797" t="s">
        <v>17</v>
      </c>
      <c r="P7" s="797"/>
      <c r="Q7" s="798" t="s">
        <v>13</v>
      </c>
      <c r="R7" s="797"/>
      <c r="S7" s="797"/>
      <c r="T7" s="797"/>
      <c r="U7" s="797"/>
      <c r="V7" s="797"/>
      <c r="W7" s="797"/>
      <c r="X7" s="797"/>
    </row>
    <row r="8" spans="1:33" s="460" customFormat="1" ht="97.2" x14ac:dyDescent="0.3">
      <c r="A8" s="802"/>
      <c r="B8" s="798"/>
      <c r="C8" s="469" t="s">
        <v>22</v>
      </c>
      <c r="D8" s="469" t="s">
        <v>74</v>
      </c>
      <c r="E8" s="469" t="s">
        <v>10</v>
      </c>
      <c r="F8" s="469" t="s">
        <v>493</v>
      </c>
      <c r="G8" s="469" t="s">
        <v>76</v>
      </c>
      <c r="H8" s="469" t="s">
        <v>12</v>
      </c>
      <c r="I8" s="798"/>
      <c r="J8" s="469" t="s">
        <v>24</v>
      </c>
      <c r="K8" s="469" t="s">
        <v>25</v>
      </c>
      <c r="L8" s="469" t="s">
        <v>77</v>
      </c>
      <c r="M8" s="469" t="s">
        <v>27</v>
      </c>
      <c r="N8" s="469" t="s">
        <v>28</v>
      </c>
      <c r="O8" s="469" t="s">
        <v>29</v>
      </c>
      <c r="P8" s="469" t="s">
        <v>25</v>
      </c>
      <c r="Q8" s="798"/>
      <c r="R8" s="469" t="s">
        <v>494</v>
      </c>
      <c r="S8" s="469" t="s">
        <v>31</v>
      </c>
      <c r="T8" s="469" t="s">
        <v>19</v>
      </c>
      <c r="U8" s="469" t="s">
        <v>78</v>
      </c>
      <c r="V8" s="469" t="s">
        <v>79</v>
      </c>
      <c r="W8" s="469" t="s">
        <v>80</v>
      </c>
      <c r="X8" s="469" t="s">
        <v>81</v>
      </c>
    </row>
    <row r="9" spans="1:33" s="460" customFormat="1" ht="15.6" x14ac:dyDescent="0.3">
      <c r="A9" s="470" t="s">
        <v>35</v>
      </c>
      <c r="B9" s="470"/>
      <c r="C9" s="470"/>
      <c r="D9" s="470"/>
      <c r="E9" s="470"/>
      <c r="F9" s="471"/>
      <c r="G9" s="470"/>
      <c r="H9" s="470"/>
      <c r="I9" s="470"/>
      <c r="J9" s="472" t="s">
        <v>83</v>
      </c>
      <c r="K9" s="472" t="s">
        <v>84</v>
      </c>
      <c r="L9" s="472" t="s">
        <v>85</v>
      </c>
      <c r="M9" s="472" t="s">
        <v>85</v>
      </c>
      <c r="N9" s="473" t="s">
        <v>86</v>
      </c>
      <c r="O9" s="472" t="s">
        <v>87</v>
      </c>
      <c r="P9" s="472" t="s">
        <v>88</v>
      </c>
      <c r="Q9" s="470"/>
      <c r="R9" s="472"/>
      <c r="S9" s="472" t="s">
        <v>89</v>
      </c>
      <c r="T9" s="474" t="s">
        <v>90</v>
      </c>
      <c r="U9" s="470"/>
      <c r="V9" s="470"/>
      <c r="W9" s="470"/>
      <c r="X9" s="470"/>
    </row>
    <row r="10" spans="1:33" s="479" customFormat="1" ht="13.2" x14ac:dyDescent="0.3">
      <c r="A10" s="799" t="s">
        <v>495</v>
      </c>
      <c r="B10" s="786" t="s">
        <v>496</v>
      </c>
      <c r="C10" s="788"/>
      <c r="D10" s="788" t="s">
        <v>93</v>
      </c>
      <c r="E10" s="800" t="s">
        <v>40</v>
      </c>
      <c r="F10" s="804">
        <f>(420000*2)/S2</f>
        <v>48415.264641294758</v>
      </c>
      <c r="G10" s="788" t="s">
        <v>94</v>
      </c>
      <c r="H10" s="788" t="s">
        <v>94</v>
      </c>
      <c r="I10" s="468" t="s">
        <v>43</v>
      </c>
      <c r="J10" s="475">
        <v>40589</v>
      </c>
      <c r="K10" s="475">
        <f>J10+5</f>
        <v>40594</v>
      </c>
      <c r="L10" s="475">
        <f>K10+7</f>
        <v>40601</v>
      </c>
      <c r="M10" s="475">
        <f>L10+7</f>
        <v>40608</v>
      </c>
      <c r="N10" s="475">
        <f>M10+30</f>
        <v>40638</v>
      </c>
      <c r="O10" s="475">
        <f>N10+10</f>
        <v>40648</v>
      </c>
      <c r="P10" s="475">
        <f>O10+3</f>
        <v>40651</v>
      </c>
      <c r="Q10" s="468" t="s">
        <v>43</v>
      </c>
      <c r="R10" s="476"/>
      <c r="S10" s="475">
        <f>P10+5</f>
        <v>40656</v>
      </c>
      <c r="T10" s="475">
        <f>S10+5</f>
        <v>40661</v>
      </c>
      <c r="U10" s="475">
        <f>T10+10</f>
        <v>40671</v>
      </c>
      <c r="V10" s="475">
        <f>U10+60</f>
        <v>40731</v>
      </c>
      <c r="W10" s="477">
        <f>T10+365</f>
        <v>41026</v>
      </c>
      <c r="X10" s="478"/>
    </row>
    <row r="11" spans="1:33" s="479" customFormat="1" ht="13.2" x14ac:dyDescent="0.3">
      <c r="A11" s="799"/>
      <c r="B11" s="786"/>
      <c r="C11" s="788"/>
      <c r="D11" s="788"/>
      <c r="E11" s="801"/>
      <c r="F11" s="804"/>
      <c r="G11" s="788"/>
      <c r="H11" s="788"/>
      <c r="I11" s="468" t="s">
        <v>44</v>
      </c>
      <c r="J11" s="480">
        <f>K11-(K10-J10)</f>
        <v>40601</v>
      </c>
      <c r="K11" s="480">
        <f>L11-(L10-K10)</f>
        <v>40606</v>
      </c>
      <c r="L11" s="480">
        <f>M11-(M10-L10)</f>
        <v>40613</v>
      </c>
      <c r="M11" s="480">
        <v>40620</v>
      </c>
      <c r="N11" s="480">
        <v>40640</v>
      </c>
      <c r="O11" s="480">
        <v>40653</v>
      </c>
      <c r="P11" s="480">
        <f>O11+5</f>
        <v>40658</v>
      </c>
      <c r="Q11" s="468" t="s">
        <v>44</v>
      </c>
      <c r="R11" s="476">
        <f>780000/S2</f>
        <v>44957.031452630843</v>
      </c>
      <c r="S11" s="481" t="s">
        <v>497</v>
      </c>
      <c r="T11" s="481" t="s">
        <v>498</v>
      </c>
      <c r="U11" s="480">
        <f>T11+10</f>
        <v>40399</v>
      </c>
      <c r="V11" s="480">
        <f>U11+90</f>
        <v>40489</v>
      </c>
      <c r="W11" s="480">
        <f>T11+365</f>
        <v>40754</v>
      </c>
      <c r="X11" s="482"/>
    </row>
    <row r="12" spans="1:33" s="479" customFormat="1" ht="13.2" x14ac:dyDescent="0.3">
      <c r="A12" s="799"/>
      <c r="B12" s="786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1"/>
      <c r="S12" s="470"/>
      <c r="T12" s="470"/>
      <c r="U12" s="470"/>
      <c r="V12" s="470"/>
      <c r="W12" s="470"/>
      <c r="X12" s="483"/>
    </row>
    <row r="13" spans="1:33" s="479" customFormat="1" ht="15.75" customHeight="1" x14ac:dyDescent="0.3">
      <c r="A13" s="799" t="s">
        <v>500</v>
      </c>
      <c r="B13" s="786" t="s">
        <v>501</v>
      </c>
      <c r="C13" s="788"/>
      <c r="D13" s="788" t="s">
        <v>93</v>
      </c>
      <c r="E13" s="800" t="s">
        <v>40</v>
      </c>
      <c r="F13" s="804">
        <f>420000/S2</f>
        <v>24207.632320647379</v>
      </c>
      <c r="G13" s="788" t="s">
        <v>94</v>
      </c>
      <c r="H13" s="788" t="s">
        <v>94</v>
      </c>
      <c r="I13" s="468" t="s">
        <v>43</v>
      </c>
      <c r="J13" s="475">
        <v>40589</v>
      </c>
      <c r="K13" s="475">
        <f>J13+5</f>
        <v>40594</v>
      </c>
      <c r="L13" s="475">
        <f>K13+7</f>
        <v>40601</v>
      </c>
      <c r="M13" s="475">
        <f>L13+7</f>
        <v>40608</v>
      </c>
      <c r="N13" s="475">
        <f>M13+30</f>
        <v>40638</v>
      </c>
      <c r="O13" s="475">
        <f>N13+10</f>
        <v>40648</v>
      </c>
      <c r="P13" s="475">
        <f>O13+3</f>
        <v>40651</v>
      </c>
      <c r="Q13" s="468" t="s">
        <v>43</v>
      </c>
      <c r="R13" s="476"/>
      <c r="S13" s="475">
        <f>P13+5</f>
        <v>40656</v>
      </c>
      <c r="T13" s="475">
        <f>S13+5</f>
        <v>40661</v>
      </c>
      <c r="U13" s="475">
        <f>T13+10</f>
        <v>40671</v>
      </c>
      <c r="V13" s="475">
        <f>U13+60</f>
        <v>40731</v>
      </c>
      <c r="W13" s="185">
        <f>V13+365</f>
        <v>41096</v>
      </c>
      <c r="X13" s="478"/>
    </row>
    <row r="14" spans="1:33" s="479" customFormat="1" ht="30" customHeight="1" x14ac:dyDescent="0.3">
      <c r="A14" s="799"/>
      <c r="B14" s="786"/>
      <c r="C14" s="788"/>
      <c r="D14" s="788"/>
      <c r="E14" s="801"/>
      <c r="F14" s="804"/>
      <c r="G14" s="788"/>
      <c r="H14" s="788"/>
      <c r="I14" s="468" t="s">
        <v>44</v>
      </c>
      <c r="J14" s="480">
        <f>K14-(K13-J13)</f>
        <v>40601</v>
      </c>
      <c r="K14" s="480">
        <f>L14-(L13-K13)</f>
        <v>40606</v>
      </c>
      <c r="L14" s="480">
        <f>M14-(M13-L13)</f>
        <v>40613</v>
      </c>
      <c r="M14" s="480">
        <v>40620</v>
      </c>
      <c r="N14" s="480">
        <v>40640</v>
      </c>
      <c r="O14" s="480">
        <v>40653</v>
      </c>
      <c r="P14" s="480">
        <f>O14+5</f>
        <v>40658</v>
      </c>
      <c r="Q14" s="468" t="s">
        <v>44</v>
      </c>
      <c r="R14" s="476">
        <f>321768/S2</f>
        <v>18545.812944166824</v>
      </c>
      <c r="S14" s="481" t="s">
        <v>497</v>
      </c>
      <c r="T14" s="481" t="s">
        <v>498</v>
      </c>
      <c r="U14" s="480">
        <f>T14+10</f>
        <v>40399</v>
      </c>
      <c r="V14" s="480">
        <f>T14+90</f>
        <v>40479</v>
      </c>
      <c r="W14" s="480">
        <f>T14+365</f>
        <v>40754</v>
      </c>
      <c r="X14" s="482"/>
    </row>
    <row r="15" spans="1:33" s="479" customFormat="1" ht="13.2" x14ac:dyDescent="0.3">
      <c r="A15" s="799"/>
      <c r="B15" s="786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1"/>
      <c r="S15" s="470"/>
      <c r="T15" s="470"/>
      <c r="U15" s="470"/>
      <c r="V15" s="470"/>
      <c r="W15" s="470"/>
      <c r="X15" s="483"/>
    </row>
    <row r="16" spans="1:33" s="479" customFormat="1" ht="13.2" x14ac:dyDescent="0.3">
      <c r="A16" s="799" t="s">
        <v>502</v>
      </c>
      <c r="B16" s="786" t="s">
        <v>503</v>
      </c>
      <c r="C16" s="788"/>
      <c r="D16" s="788" t="s">
        <v>93</v>
      </c>
      <c r="E16" s="800" t="s">
        <v>40</v>
      </c>
      <c r="F16" s="804">
        <f>(500000*2)/S2</f>
        <v>57637.219811065188</v>
      </c>
      <c r="G16" s="788" t="s">
        <v>94</v>
      </c>
      <c r="H16" s="788" t="s">
        <v>94</v>
      </c>
      <c r="I16" s="468" t="s">
        <v>43</v>
      </c>
      <c r="J16" s="475">
        <v>40617</v>
      </c>
      <c r="K16" s="475">
        <f>J16+5</f>
        <v>40622</v>
      </c>
      <c r="L16" s="475">
        <f>K16+7</f>
        <v>40629</v>
      </c>
      <c r="M16" s="475">
        <f>L16+7</f>
        <v>40636</v>
      </c>
      <c r="N16" s="475">
        <f>M16+30</f>
        <v>40666</v>
      </c>
      <c r="O16" s="475">
        <f>N16+10</f>
        <v>40676</v>
      </c>
      <c r="P16" s="475">
        <f>O16+3</f>
        <v>40679</v>
      </c>
      <c r="Q16" s="468" t="s">
        <v>43</v>
      </c>
      <c r="R16" s="476"/>
      <c r="S16" s="475">
        <f>P16+5</f>
        <v>40684</v>
      </c>
      <c r="T16" s="475">
        <f>S16+5</f>
        <v>40689</v>
      </c>
      <c r="U16" s="475">
        <f>T16+10</f>
        <v>40699</v>
      </c>
      <c r="V16" s="475">
        <f>U16+60</f>
        <v>40759</v>
      </c>
      <c r="W16" s="477">
        <f>V16+365</f>
        <v>41124</v>
      </c>
      <c r="X16" s="478"/>
    </row>
    <row r="17" spans="1:24" s="479" customFormat="1" ht="13.2" x14ac:dyDescent="0.3">
      <c r="A17" s="799"/>
      <c r="B17" s="786"/>
      <c r="C17" s="788"/>
      <c r="D17" s="788"/>
      <c r="E17" s="801"/>
      <c r="F17" s="804"/>
      <c r="G17" s="788"/>
      <c r="H17" s="788"/>
      <c r="I17" s="468" t="s">
        <v>44</v>
      </c>
      <c r="J17" s="480">
        <f>K17-(K16-J16)</f>
        <v>40601</v>
      </c>
      <c r="K17" s="480">
        <f>L17-(L16-K16)</f>
        <v>40606</v>
      </c>
      <c r="L17" s="480">
        <f>M17-(M16-L16)</f>
        <v>40613</v>
      </c>
      <c r="M17" s="480">
        <v>40620</v>
      </c>
      <c r="N17" s="480">
        <v>40640</v>
      </c>
      <c r="O17" s="480">
        <v>40653</v>
      </c>
      <c r="P17" s="480">
        <f>O17+5</f>
        <v>40658</v>
      </c>
      <c r="Q17" s="468" t="s">
        <v>44</v>
      </c>
      <c r="R17" s="476">
        <f>(577390+661352)/S2</f>
        <v>71397.644943198509</v>
      </c>
      <c r="S17" s="481" t="s">
        <v>497</v>
      </c>
      <c r="T17" s="484" t="s">
        <v>498</v>
      </c>
      <c r="U17" s="480">
        <f>T17+10</f>
        <v>40399</v>
      </c>
      <c r="V17" s="480">
        <f>T17+90</f>
        <v>40479</v>
      </c>
      <c r="W17" s="481" t="s">
        <v>499</v>
      </c>
      <c r="X17" s="482"/>
    </row>
    <row r="18" spans="1:24" s="479" customFormat="1" ht="13.2" x14ac:dyDescent="0.3">
      <c r="A18" s="799"/>
      <c r="B18" s="786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1"/>
      <c r="S18" s="470"/>
      <c r="T18" s="470"/>
      <c r="U18" s="470"/>
      <c r="V18" s="470"/>
      <c r="W18" s="470"/>
      <c r="X18" s="483"/>
    </row>
    <row r="19" spans="1:24" s="479" customFormat="1" ht="13.2" x14ac:dyDescent="0.3">
      <c r="A19" s="805" t="s">
        <v>505</v>
      </c>
      <c r="B19" s="786" t="s">
        <v>496</v>
      </c>
      <c r="C19" s="788"/>
      <c r="D19" s="788" t="s">
        <v>93</v>
      </c>
      <c r="E19" s="788" t="s">
        <v>40</v>
      </c>
      <c r="F19" s="804">
        <f>4820543/S2</f>
        <v>277842.69649969164</v>
      </c>
      <c r="G19" s="788" t="s">
        <v>94</v>
      </c>
      <c r="H19" s="788" t="s">
        <v>94</v>
      </c>
      <c r="I19" s="468" t="s">
        <v>43</v>
      </c>
      <c r="J19" s="475">
        <v>40589</v>
      </c>
      <c r="K19" s="475">
        <f>J19+5</f>
        <v>40594</v>
      </c>
      <c r="L19" s="475">
        <f>K19+7</f>
        <v>40601</v>
      </c>
      <c r="M19" s="475">
        <f>L19+7</f>
        <v>40608</v>
      </c>
      <c r="N19" s="475">
        <f>M19+30</f>
        <v>40638</v>
      </c>
      <c r="O19" s="475">
        <f>N19+10</f>
        <v>40648</v>
      </c>
      <c r="P19" s="475">
        <f>O19+3</f>
        <v>40651</v>
      </c>
      <c r="Q19" s="468" t="s">
        <v>43</v>
      </c>
      <c r="R19" s="476"/>
      <c r="S19" s="475">
        <f>P19+5</f>
        <v>40656</v>
      </c>
      <c r="T19" s="475">
        <f>S19+5</f>
        <v>40661</v>
      </c>
      <c r="U19" s="480">
        <f>T19+10</f>
        <v>40671</v>
      </c>
      <c r="V19" s="480">
        <f>U19+60</f>
        <v>40731</v>
      </c>
      <c r="W19" s="485">
        <f>V19+10</f>
        <v>40741</v>
      </c>
      <c r="X19" s="478"/>
    </row>
    <row r="20" spans="1:24" s="479" customFormat="1" ht="13.2" x14ac:dyDescent="0.3">
      <c r="A20" s="805"/>
      <c r="B20" s="786"/>
      <c r="C20" s="788"/>
      <c r="D20" s="788"/>
      <c r="E20" s="788"/>
      <c r="F20" s="804"/>
      <c r="G20" s="788"/>
      <c r="H20" s="788"/>
      <c r="I20" s="486" t="s">
        <v>504</v>
      </c>
      <c r="J20" s="477"/>
      <c r="K20" s="477"/>
      <c r="L20" s="477"/>
      <c r="M20" s="477"/>
      <c r="N20" s="477"/>
      <c r="O20" s="477"/>
      <c r="P20" s="477"/>
      <c r="Q20" s="486" t="s">
        <v>504</v>
      </c>
      <c r="R20" s="487"/>
      <c r="S20" s="477"/>
      <c r="T20" s="477"/>
      <c r="U20" s="477">
        <v>41075</v>
      </c>
      <c r="V20" s="477">
        <f>U20+60</f>
        <v>41135</v>
      </c>
      <c r="W20" s="477">
        <f>V20+10</f>
        <v>41145</v>
      </c>
      <c r="X20" s="478"/>
    </row>
    <row r="21" spans="1:24" s="479" customFormat="1" ht="13.2" x14ac:dyDescent="0.3">
      <c r="A21" s="805"/>
      <c r="B21" s="786"/>
      <c r="C21" s="788"/>
      <c r="D21" s="788"/>
      <c r="E21" s="788"/>
      <c r="F21" s="804"/>
      <c r="G21" s="788"/>
      <c r="H21" s="788"/>
      <c r="I21" s="468" t="s">
        <v>44</v>
      </c>
      <c r="J21" s="481" t="s">
        <v>161</v>
      </c>
      <c r="K21" s="481" t="s">
        <v>110</v>
      </c>
      <c r="L21" s="455"/>
      <c r="M21" s="475" t="s">
        <v>506</v>
      </c>
      <c r="N21" s="475" t="s">
        <v>507</v>
      </c>
      <c r="O21" s="475" t="s">
        <v>508</v>
      </c>
      <c r="P21" s="487" t="s">
        <v>744</v>
      </c>
      <c r="Q21" s="486" t="s">
        <v>44</v>
      </c>
      <c r="R21" s="487">
        <v>207065.62</v>
      </c>
      <c r="S21" s="488" t="s">
        <v>772</v>
      </c>
      <c r="T21" s="488" t="s">
        <v>773</v>
      </c>
      <c r="U21" s="481"/>
      <c r="V21" s="481"/>
      <c r="W21" s="481"/>
      <c r="X21" s="482"/>
    </row>
    <row r="22" spans="1:24" s="479" customFormat="1" ht="13.2" x14ac:dyDescent="0.3">
      <c r="A22" s="805"/>
      <c r="B22" s="786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1"/>
      <c r="S22" s="470"/>
      <c r="T22" s="470"/>
      <c r="U22" s="470"/>
      <c r="V22" s="470"/>
      <c r="W22" s="470"/>
      <c r="X22" s="483"/>
    </row>
    <row r="23" spans="1:24" s="479" customFormat="1" ht="13.2" x14ac:dyDescent="0.3">
      <c r="A23" s="805" t="s">
        <v>509</v>
      </c>
      <c r="B23" s="786" t="s">
        <v>501</v>
      </c>
      <c r="C23" s="788"/>
      <c r="D23" s="788" t="s">
        <v>93</v>
      </c>
      <c r="E23" s="788" t="s">
        <v>40</v>
      </c>
      <c r="F23" s="804">
        <f>3054975/S2</f>
        <v>176080.26559230886</v>
      </c>
      <c r="G23" s="788" t="s">
        <v>94</v>
      </c>
      <c r="H23" s="788" t="s">
        <v>94</v>
      </c>
      <c r="I23" s="468" t="s">
        <v>43</v>
      </c>
      <c r="J23" s="475">
        <v>40589</v>
      </c>
      <c r="K23" s="475">
        <f>J23+5</f>
        <v>40594</v>
      </c>
      <c r="L23" s="475">
        <f>K23+7</f>
        <v>40601</v>
      </c>
      <c r="M23" s="475">
        <f>L23+7</f>
        <v>40608</v>
      </c>
      <c r="N23" s="475">
        <f>M23+30</f>
        <v>40638</v>
      </c>
      <c r="O23" s="475">
        <f>N23+10</f>
        <v>40648</v>
      </c>
      <c r="P23" s="475">
        <f>O23+3</f>
        <v>40651</v>
      </c>
      <c r="Q23" s="468" t="s">
        <v>43</v>
      </c>
      <c r="R23" s="476"/>
      <c r="S23" s="475">
        <f>P23+5</f>
        <v>40656</v>
      </c>
      <c r="T23" s="475">
        <f>S23+5</f>
        <v>40661</v>
      </c>
      <c r="U23" s="475">
        <f>T23+10</f>
        <v>40671</v>
      </c>
      <c r="V23" s="475">
        <f>U23+60</f>
        <v>40731</v>
      </c>
      <c r="W23" s="477">
        <f>V23+10</f>
        <v>40741</v>
      </c>
      <c r="X23" s="478"/>
    </row>
    <row r="24" spans="1:24" s="479" customFormat="1" ht="13.2" x14ac:dyDescent="0.3">
      <c r="A24" s="805"/>
      <c r="B24" s="786"/>
      <c r="C24" s="788"/>
      <c r="D24" s="788"/>
      <c r="E24" s="788"/>
      <c r="F24" s="804"/>
      <c r="G24" s="788"/>
      <c r="H24" s="788"/>
      <c r="I24" s="468" t="s">
        <v>44</v>
      </c>
      <c r="J24" s="481" t="s">
        <v>161</v>
      </c>
      <c r="K24" s="481" t="s">
        <v>110</v>
      </c>
      <c r="L24" s="481"/>
      <c r="M24" s="475" t="s">
        <v>506</v>
      </c>
      <c r="N24" s="475" t="s">
        <v>507</v>
      </c>
      <c r="O24" s="475" t="s">
        <v>508</v>
      </c>
      <c r="P24" s="481"/>
      <c r="Q24" s="468" t="s">
        <v>44</v>
      </c>
      <c r="R24" s="476">
        <f>1611937.75/S2</f>
        <v>92907.610418503842</v>
      </c>
      <c r="S24" s="481" t="s">
        <v>774</v>
      </c>
      <c r="T24" s="481" t="s">
        <v>510</v>
      </c>
      <c r="U24" s="480">
        <f>T24+10</f>
        <v>40854</v>
      </c>
      <c r="V24" s="480">
        <f>T24+90</f>
        <v>40934</v>
      </c>
      <c r="W24" s="480">
        <f>V24+365</f>
        <v>41299</v>
      </c>
      <c r="X24" s="478"/>
    </row>
    <row r="25" spans="1:24" s="479" customFormat="1" ht="13.2" x14ac:dyDescent="0.3">
      <c r="A25" s="805"/>
      <c r="B25" s="786"/>
      <c r="C25" s="788"/>
      <c r="D25" s="788"/>
      <c r="E25" s="788"/>
      <c r="F25" s="804"/>
      <c r="G25" s="788"/>
      <c r="H25" s="788"/>
      <c r="I25" s="470"/>
      <c r="J25" s="470"/>
      <c r="K25" s="470"/>
      <c r="L25" s="470"/>
      <c r="M25" s="470"/>
      <c r="N25" s="470"/>
      <c r="O25" s="470"/>
      <c r="P25" s="470"/>
      <c r="Q25" s="470"/>
      <c r="R25" s="471"/>
      <c r="S25" s="470"/>
      <c r="T25" s="470"/>
      <c r="U25" s="470"/>
      <c r="V25" s="470"/>
      <c r="W25" s="470"/>
      <c r="X25" s="482"/>
    </row>
    <row r="26" spans="1:24" s="479" customFormat="1" ht="13.2" x14ac:dyDescent="0.3">
      <c r="A26" s="805"/>
      <c r="B26" s="786"/>
      <c r="C26" s="470"/>
      <c r="D26" s="470"/>
      <c r="E26" s="470"/>
      <c r="F26" s="470"/>
      <c r="G26" s="470"/>
      <c r="H26" s="470"/>
      <c r="I26" s="468" t="s">
        <v>43</v>
      </c>
      <c r="J26" s="475">
        <v>40589</v>
      </c>
      <c r="K26" s="475">
        <f>J26</f>
        <v>40589</v>
      </c>
      <c r="L26" s="475">
        <f>K26+7</f>
        <v>40596</v>
      </c>
      <c r="M26" s="475">
        <f>L26+7</f>
        <v>40603</v>
      </c>
      <c r="N26" s="475">
        <f>M26+30</f>
        <v>40633</v>
      </c>
      <c r="O26" s="475">
        <f>N26+10</f>
        <v>40643</v>
      </c>
      <c r="P26" s="475">
        <f>O26+10</f>
        <v>40653</v>
      </c>
      <c r="Q26" s="468" t="s">
        <v>43</v>
      </c>
      <c r="R26" s="476"/>
      <c r="S26" s="475">
        <f>P26+5</f>
        <v>40658</v>
      </c>
      <c r="T26" s="475">
        <f>S26+5</f>
        <v>40663</v>
      </c>
      <c r="U26" s="475">
        <f>T26+10</f>
        <v>40673</v>
      </c>
      <c r="V26" s="475">
        <f>U26+60</f>
        <v>40733</v>
      </c>
      <c r="W26" s="477">
        <f>V26+365</f>
        <v>41098</v>
      </c>
      <c r="X26" s="483"/>
    </row>
    <row r="27" spans="1:24" s="479" customFormat="1" ht="13.8" x14ac:dyDescent="0.3">
      <c r="A27" s="799" t="s">
        <v>728</v>
      </c>
      <c r="B27" s="786" t="s">
        <v>501</v>
      </c>
      <c r="C27" s="788"/>
      <c r="D27" s="788" t="s">
        <v>93</v>
      </c>
      <c r="E27" s="788" t="s">
        <v>40</v>
      </c>
      <c r="F27" s="804">
        <v>186386.72</v>
      </c>
      <c r="G27" s="788" t="s">
        <v>94</v>
      </c>
      <c r="H27" s="788" t="s">
        <v>94</v>
      </c>
      <c r="I27" s="468" t="s">
        <v>50</v>
      </c>
      <c r="J27" s="475"/>
      <c r="K27" s="475"/>
      <c r="L27" s="475"/>
      <c r="M27" s="475"/>
      <c r="N27" s="460"/>
      <c r="O27" s="475"/>
      <c r="P27" s="475">
        <v>40959</v>
      </c>
      <c r="Q27" s="468" t="s">
        <v>50</v>
      </c>
      <c r="R27" s="476"/>
      <c r="S27" s="475">
        <v>40963</v>
      </c>
      <c r="T27" s="475">
        <v>40983</v>
      </c>
      <c r="U27" s="475">
        <f>T27+10</f>
        <v>40993</v>
      </c>
      <c r="V27" s="475">
        <f>U27+60</f>
        <v>41053</v>
      </c>
      <c r="W27" s="475">
        <f>V27+10</f>
        <v>41063</v>
      </c>
      <c r="X27" s="489"/>
    </row>
    <row r="28" spans="1:24" s="479" customFormat="1" ht="13.2" x14ac:dyDescent="0.3">
      <c r="A28" s="799"/>
      <c r="B28" s="786"/>
      <c r="C28" s="788"/>
      <c r="D28" s="788"/>
      <c r="E28" s="788"/>
      <c r="F28" s="804"/>
      <c r="G28" s="788"/>
      <c r="H28" s="788"/>
      <c r="I28" s="486" t="s">
        <v>504</v>
      </c>
      <c r="J28" s="477"/>
      <c r="K28" s="477"/>
      <c r="L28" s="477"/>
      <c r="M28" s="477"/>
      <c r="N28" s="477"/>
      <c r="O28" s="477"/>
      <c r="P28" s="477"/>
      <c r="Q28" s="486" t="s">
        <v>504</v>
      </c>
      <c r="R28" s="487"/>
      <c r="S28" s="477"/>
      <c r="T28" s="477"/>
      <c r="U28" s="477"/>
      <c r="V28" s="477">
        <v>41150</v>
      </c>
      <c r="W28" s="477">
        <f>V28+365</f>
        <v>41515</v>
      </c>
      <c r="X28" s="489"/>
    </row>
    <row r="29" spans="1:24" s="479" customFormat="1" ht="13.2" x14ac:dyDescent="0.3">
      <c r="A29" s="799"/>
      <c r="B29" s="786"/>
      <c r="C29" s="788"/>
      <c r="D29" s="788"/>
      <c r="E29" s="788"/>
      <c r="F29" s="804"/>
      <c r="G29" s="788"/>
      <c r="H29" s="788"/>
      <c r="I29" s="468" t="s">
        <v>44</v>
      </c>
      <c r="J29" s="481" t="s">
        <v>511</v>
      </c>
      <c r="K29" s="481" t="s">
        <v>512</v>
      </c>
      <c r="L29" s="455"/>
      <c r="M29" s="481" t="s">
        <v>513</v>
      </c>
      <c r="N29" s="481" t="s">
        <v>468</v>
      </c>
      <c r="O29" s="481" t="s">
        <v>514</v>
      </c>
      <c r="P29" s="481"/>
      <c r="Q29" s="486" t="s">
        <v>44</v>
      </c>
      <c r="R29" s="476">
        <f>16453855/17.3499</f>
        <v>948354.45737439406</v>
      </c>
      <c r="S29" s="480" t="s">
        <v>731</v>
      </c>
      <c r="T29" s="480" t="s">
        <v>730</v>
      </c>
      <c r="U29" s="480">
        <f>T29+10</f>
        <v>41048</v>
      </c>
      <c r="V29" s="480"/>
      <c r="W29" s="480"/>
      <c r="X29" s="489"/>
    </row>
    <row r="30" spans="1:24" s="479" customFormat="1" ht="13.2" x14ac:dyDescent="0.3">
      <c r="A30" s="799"/>
      <c r="B30" s="786"/>
      <c r="C30" s="788"/>
      <c r="D30" s="788"/>
      <c r="E30" s="788"/>
      <c r="F30" s="804"/>
      <c r="G30" s="788"/>
      <c r="H30" s="788"/>
      <c r="I30" s="470"/>
      <c r="J30" s="470"/>
      <c r="K30" s="470"/>
      <c r="L30" s="470"/>
      <c r="M30" s="470"/>
      <c r="N30" s="470"/>
      <c r="O30" s="470"/>
      <c r="P30" s="470"/>
      <c r="Q30" s="470"/>
      <c r="R30" s="471"/>
      <c r="S30" s="490"/>
      <c r="T30" s="490"/>
      <c r="U30" s="490"/>
      <c r="V30" s="490"/>
      <c r="W30" s="490"/>
      <c r="X30" s="489"/>
    </row>
    <row r="31" spans="1:24" s="479" customFormat="1" ht="13.2" x14ac:dyDescent="0.3">
      <c r="A31" s="809"/>
      <c r="B31" s="787"/>
      <c r="C31" s="470"/>
      <c r="D31" s="470"/>
      <c r="E31" s="470"/>
      <c r="F31" s="470"/>
      <c r="G31" s="470"/>
      <c r="H31" s="470"/>
      <c r="I31" s="468" t="s">
        <v>43</v>
      </c>
      <c r="J31" s="475">
        <v>40589</v>
      </c>
      <c r="K31" s="475">
        <f>J31</f>
        <v>40589</v>
      </c>
      <c r="L31" s="475">
        <f>K31+7</f>
        <v>40596</v>
      </c>
      <c r="M31" s="475">
        <f>L31+7</f>
        <v>40603</v>
      </c>
      <c r="N31" s="475">
        <f>M31+30</f>
        <v>40633</v>
      </c>
      <c r="O31" s="475">
        <f>N31+10</f>
        <v>40643</v>
      </c>
      <c r="P31" s="475">
        <f>O31+10</f>
        <v>40653</v>
      </c>
      <c r="Q31" s="468" t="s">
        <v>43</v>
      </c>
      <c r="R31" s="476"/>
      <c r="S31" s="480">
        <f>P31+5</f>
        <v>40658</v>
      </c>
      <c r="T31" s="480">
        <f>S31+5</f>
        <v>40663</v>
      </c>
      <c r="U31" s="480">
        <f>T31+10</f>
        <v>40673</v>
      </c>
      <c r="V31" s="480">
        <f>U31+60</f>
        <v>40733</v>
      </c>
      <c r="W31" s="485">
        <f>V31+365</f>
        <v>41098</v>
      </c>
      <c r="X31" s="489"/>
    </row>
    <row r="32" spans="1:24" s="479" customFormat="1" ht="15" customHeight="1" x14ac:dyDescent="0.3">
      <c r="A32" s="787" t="s">
        <v>729</v>
      </c>
      <c r="B32" s="786" t="s">
        <v>732</v>
      </c>
      <c r="C32" s="808"/>
      <c r="D32" s="788" t="s">
        <v>93</v>
      </c>
      <c r="E32" s="788" t="s">
        <v>40</v>
      </c>
      <c r="F32" s="804">
        <v>186386.72</v>
      </c>
      <c r="G32" s="788" t="s">
        <v>94</v>
      </c>
      <c r="H32" s="788" t="s">
        <v>94</v>
      </c>
      <c r="I32" s="468" t="s">
        <v>50</v>
      </c>
      <c r="J32" s="475"/>
      <c r="K32" s="475"/>
      <c r="L32" s="475"/>
      <c r="M32" s="475"/>
      <c r="N32" s="460"/>
      <c r="O32" s="475"/>
      <c r="P32" s="475">
        <v>40959</v>
      </c>
      <c r="Q32" s="468" t="s">
        <v>50</v>
      </c>
      <c r="R32" s="476"/>
      <c r="S32" s="480">
        <v>40963</v>
      </c>
      <c r="T32" s="480">
        <v>40983</v>
      </c>
      <c r="U32" s="480">
        <f>T32+10</f>
        <v>40993</v>
      </c>
      <c r="V32" s="480">
        <f>U32+60</f>
        <v>41053</v>
      </c>
      <c r="W32" s="480">
        <f>V32+365</f>
        <v>41418</v>
      </c>
      <c r="X32" s="489"/>
    </row>
    <row r="33" spans="1:32" s="479" customFormat="1" ht="13.2" x14ac:dyDescent="0.3">
      <c r="A33" s="806"/>
      <c r="B33" s="786"/>
      <c r="C33" s="808"/>
      <c r="D33" s="788"/>
      <c r="E33" s="788"/>
      <c r="F33" s="804"/>
      <c r="G33" s="788"/>
      <c r="H33" s="788"/>
      <c r="I33" s="486" t="s">
        <v>504</v>
      </c>
      <c r="J33" s="477"/>
      <c r="K33" s="477"/>
      <c r="L33" s="477"/>
      <c r="M33" s="477"/>
      <c r="N33" s="477"/>
      <c r="O33" s="477"/>
      <c r="P33" s="477"/>
      <c r="Q33" s="486" t="s">
        <v>504</v>
      </c>
      <c r="R33" s="487"/>
      <c r="S33" s="485"/>
      <c r="T33" s="485"/>
      <c r="U33" s="485"/>
      <c r="V33" s="477">
        <v>41150</v>
      </c>
      <c r="W33" s="485">
        <f>V33+365</f>
        <v>41515</v>
      </c>
      <c r="X33" s="489"/>
    </row>
    <row r="34" spans="1:32" s="479" customFormat="1" ht="13.2" x14ac:dyDescent="0.3">
      <c r="A34" s="806"/>
      <c r="B34" s="786"/>
      <c r="C34" s="808"/>
      <c r="D34" s="788"/>
      <c r="E34" s="788"/>
      <c r="F34" s="804"/>
      <c r="G34" s="788"/>
      <c r="H34" s="788"/>
      <c r="I34" s="468" t="s">
        <v>44</v>
      </c>
      <c r="J34" s="481" t="s">
        <v>511</v>
      </c>
      <c r="K34" s="481" t="s">
        <v>512</v>
      </c>
      <c r="L34" s="455"/>
      <c r="M34" s="481" t="s">
        <v>513</v>
      </c>
      <c r="N34" s="481" t="s">
        <v>468</v>
      </c>
      <c r="O34" s="481" t="s">
        <v>514</v>
      </c>
      <c r="P34" s="481"/>
      <c r="Q34" s="486" t="s">
        <v>44</v>
      </c>
      <c r="R34" s="476">
        <f>16453855/17.3499</f>
        <v>948354.45737439406</v>
      </c>
      <c r="S34" s="480" t="s">
        <v>731</v>
      </c>
      <c r="T34" s="480" t="s">
        <v>733</v>
      </c>
      <c r="U34" s="480">
        <f>T34+10</f>
        <v>41048</v>
      </c>
      <c r="V34" s="480"/>
      <c r="W34" s="480"/>
      <c r="X34" s="489"/>
    </row>
    <row r="35" spans="1:32" s="479" customFormat="1" ht="13.2" x14ac:dyDescent="0.3">
      <c r="A35" s="807"/>
      <c r="B35" s="786"/>
      <c r="C35" s="808"/>
      <c r="D35" s="788"/>
      <c r="E35" s="788"/>
      <c r="F35" s="804"/>
      <c r="G35" s="788"/>
      <c r="H35" s="788"/>
      <c r="I35" s="470"/>
      <c r="J35" s="470"/>
      <c r="K35" s="470"/>
      <c r="L35" s="470"/>
      <c r="M35" s="470"/>
      <c r="N35" s="470"/>
      <c r="O35" s="470"/>
      <c r="P35" s="470"/>
      <c r="Q35" s="470"/>
      <c r="R35" s="471"/>
      <c r="S35" s="490"/>
      <c r="T35" s="490"/>
      <c r="U35" s="490"/>
      <c r="V35" s="490"/>
      <c r="W35" s="490"/>
      <c r="X35" s="489"/>
    </row>
    <row r="36" spans="1:32" s="479" customFormat="1" ht="12.75" customHeight="1" x14ac:dyDescent="0.3">
      <c r="A36" s="809" t="s">
        <v>734</v>
      </c>
      <c r="B36" s="787" t="s">
        <v>501</v>
      </c>
      <c r="C36" s="800"/>
      <c r="D36" s="800" t="s">
        <v>93</v>
      </c>
      <c r="E36" s="800" t="s">
        <v>40</v>
      </c>
      <c r="F36" s="813">
        <v>186386.72</v>
      </c>
      <c r="G36" s="800" t="s">
        <v>94</v>
      </c>
      <c r="H36" s="800" t="s">
        <v>94</v>
      </c>
      <c r="I36" s="468" t="s">
        <v>50</v>
      </c>
      <c r="J36" s="475"/>
      <c r="K36" s="475"/>
      <c r="L36" s="475"/>
      <c r="M36" s="475"/>
      <c r="N36" s="460"/>
      <c r="O36" s="475"/>
      <c r="P36" s="475">
        <v>40959</v>
      </c>
      <c r="Q36" s="468" t="s">
        <v>50</v>
      </c>
      <c r="R36" s="476"/>
      <c r="S36" s="480">
        <v>40963</v>
      </c>
      <c r="T36" s="480">
        <v>40983</v>
      </c>
      <c r="U36" s="480">
        <f>T36+10</f>
        <v>40993</v>
      </c>
      <c r="V36" s="480">
        <f>U36+60</f>
        <v>41053</v>
      </c>
      <c r="W36" s="480">
        <f>V36+365</f>
        <v>41418</v>
      </c>
      <c r="X36" s="489"/>
    </row>
    <row r="37" spans="1:32" s="39" customFormat="1" ht="13.8" x14ac:dyDescent="0.3">
      <c r="A37" s="811"/>
      <c r="B37" s="806"/>
      <c r="C37" s="810"/>
      <c r="D37" s="810"/>
      <c r="E37" s="810"/>
      <c r="F37" s="814"/>
      <c r="G37" s="810"/>
      <c r="H37" s="810"/>
      <c r="I37" s="486" t="s">
        <v>504</v>
      </c>
      <c r="J37" s="477"/>
      <c r="K37" s="477"/>
      <c r="L37" s="477"/>
      <c r="M37" s="477"/>
      <c r="N37" s="477"/>
      <c r="O37" s="477"/>
      <c r="P37" s="477"/>
      <c r="Q37" s="486" t="s">
        <v>504</v>
      </c>
      <c r="R37" s="487"/>
      <c r="S37" s="485">
        <v>41070</v>
      </c>
      <c r="T37" s="485">
        <f>S37+5</f>
        <v>41075</v>
      </c>
      <c r="U37" s="485">
        <f>T37+15</f>
        <v>41090</v>
      </c>
      <c r="V37" s="485">
        <f>U37+60</f>
        <v>41150</v>
      </c>
      <c r="W37" s="485">
        <f>V37+10</f>
        <v>41160</v>
      </c>
      <c r="X37" s="476"/>
      <c r="Y37" s="460"/>
      <c r="Z37" s="460"/>
      <c r="AA37" s="460"/>
      <c r="AB37" s="460"/>
      <c r="AC37" s="460"/>
      <c r="AD37" s="460"/>
      <c r="AE37" s="460"/>
      <c r="AF37" s="460"/>
    </row>
    <row r="38" spans="1:32" s="39" customFormat="1" ht="13.8" x14ac:dyDescent="0.3">
      <c r="A38" s="811"/>
      <c r="B38" s="806"/>
      <c r="C38" s="810"/>
      <c r="D38" s="810"/>
      <c r="E38" s="810"/>
      <c r="F38" s="814"/>
      <c r="G38" s="810"/>
      <c r="H38" s="810"/>
      <c r="I38" s="468" t="s">
        <v>44</v>
      </c>
      <c r="J38" s="481" t="s">
        <v>511</v>
      </c>
      <c r="K38" s="481" t="s">
        <v>512</v>
      </c>
      <c r="L38" s="455"/>
      <c r="M38" s="481" t="s">
        <v>513</v>
      </c>
      <c r="N38" s="481" t="s">
        <v>468</v>
      </c>
      <c r="O38" s="481" t="s">
        <v>514</v>
      </c>
      <c r="P38" s="481"/>
      <c r="Q38" s="486" t="s">
        <v>44</v>
      </c>
      <c r="R38" s="476"/>
      <c r="S38" s="480"/>
      <c r="T38" s="480"/>
      <c r="U38" s="480"/>
      <c r="V38" s="480"/>
      <c r="W38" s="480"/>
      <c r="X38" s="476"/>
      <c r="Y38" s="460"/>
      <c r="Z38" s="460"/>
      <c r="AA38" s="460"/>
      <c r="AB38" s="460"/>
      <c r="AC38" s="460"/>
      <c r="AD38" s="460"/>
      <c r="AE38" s="460"/>
      <c r="AF38" s="460"/>
    </row>
    <row r="39" spans="1:32" s="460" customFormat="1" ht="13.8" x14ac:dyDescent="0.3">
      <c r="A39" s="811"/>
      <c r="B39" s="806"/>
      <c r="C39" s="801"/>
      <c r="D39" s="801"/>
      <c r="E39" s="801"/>
      <c r="F39" s="815"/>
      <c r="G39" s="801"/>
      <c r="H39" s="801"/>
      <c r="I39" s="470"/>
      <c r="J39" s="470"/>
      <c r="K39" s="470"/>
      <c r="L39" s="470"/>
      <c r="M39" s="470"/>
      <c r="N39" s="470"/>
      <c r="O39" s="470"/>
      <c r="P39" s="470"/>
      <c r="Q39" s="470"/>
      <c r="R39" s="471"/>
      <c r="S39" s="490"/>
      <c r="T39" s="490"/>
      <c r="U39" s="490"/>
      <c r="V39" s="490"/>
      <c r="W39" s="490"/>
      <c r="X39" s="481"/>
    </row>
    <row r="40" spans="1:32" s="460" customFormat="1" ht="13.8" x14ac:dyDescent="0.3">
      <c r="A40" s="812"/>
      <c r="B40" s="807"/>
      <c r="C40" s="470"/>
      <c r="D40" s="470"/>
      <c r="E40" s="470"/>
      <c r="F40" s="470"/>
      <c r="G40" s="470"/>
      <c r="H40" s="470"/>
      <c r="I40" s="468" t="s">
        <v>43</v>
      </c>
      <c r="J40" s="475">
        <v>40452</v>
      </c>
      <c r="K40" s="475">
        <f>J40</f>
        <v>40452</v>
      </c>
      <c r="L40" s="475">
        <f>K40+7</f>
        <v>40459</v>
      </c>
      <c r="M40" s="475">
        <f>L40+7</f>
        <v>40466</v>
      </c>
      <c r="N40" s="475">
        <f>M40+30</f>
        <v>40496</v>
      </c>
      <c r="O40" s="475">
        <f>N40+10</f>
        <v>40506</v>
      </c>
      <c r="P40" s="475">
        <f>O40+10</f>
        <v>40516</v>
      </c>
      <c r="Q40" s="468" t="s">
        <v>43</v>
      </c>
      <c r="R40" s="476"/>
      <c r="S40" s="480">
        <f>P40+5</f>
        <v>40521</v>
      </c>
      <c r="T40" s="480">
        <f>S40+5</f>
        <v>40526</v>
      </c>
      <c r="U40" s="480">
        <f>T40+10</f>
        <v>40536</v>
      </c>
      <c r="V40" s="480">
        <f>U40+540</f>
        <v>41076</v>
      </c>
      <c r="W40" s="485">
        <f>V40+180</f>
        <v>41256</v>
      </c>
      <c r="X40" s="470"/>
    </row>
    <row r="41" spans="1:32" s="460" customFormat="1" ht="13.8" x14ac:dyDescent="0.3">
      <c r="A41" s="799" t="s">
        <v>515</v>
      </c>
      <c r="B41" s="786" t="s">
        <v>516</v>
      </c>
      <c r="C41" s="788"/>
      <c r="D41" s="788" t="s">
        <v>93</v>
      </c>
      <c r="E41" s="788" t="s">
        <v>40</v>
      </c>
      <c r="F41" s="804">
        <f>39599452.89/S2</f>
        <v>2282402.3706188505</v>
      </c>
      <c r="G41" s="788" t="s">
        <v>94</v>
      </c>
      <c r="H41" s="788" t="s">
        <v>94</v>
      </c>
      <c r="I41" s="486" t="s">
        <v>504</v>
      </c>
      <c r="J41" s="477"/>
      <c r="K41" s="477"/>
      <c r="L41" s="477"/>
      <c r="M41" s="477"/>
      <c r="N41" s="477"/>
      <c r="O41" s="477"/>
      <c r="P41" s="477"/>
      <c r="Q41" s="486" t="s">
        <v>504</v>
      </c>
      <c r="R41" s="487"/>
      <c r="S41" s="485">
        <v>41070</v>
      </c>
      <c r="T41" s="485">
        <f>S41+5</f>
        <v>41075</v>
      </c>
      <c r="U41" s="485">
        <f>T41+15</f>
        <v>41090</v>
      </c>
      <c r="V41" s="485">
        <f>U41+60</f>
        <v>41150</v>
      </c>
      <c r="W41" s="485">
        <f>V41+10</f>
        <v>41160</v>
      </c>
      <c r="X41" s="476"/>
    </row>
    <row r="42" spans="1:32" s="460" customFormat="1" ht="13.8" x14ac:dyDescent="0.3">
      <c r="A42" s="799"/>
      <c r="B42" s="786"/>
      <c r="C42" s="788"/>
      <c r="D42" s="788"/>
      <c r="E42" s="788"/>
      <c r="F42" s="804"/>
      <c r="G42" s="788"/>
      <c r="H42" s="788"/>
      <c r="I42" s="468" t="s">
        <v>44</v>
      </c>
      <c r="J42" s="455"/>
      <c r="K42" s="455"/>
      <c r="L42" s="455"/>
      <c r="M42" s="481" t="s">
        <v>517</v>
      </c>
      <c r="N42" s="481" t="s">
        <v>518</v>
      </c>
      <c r="O42" s="481" t="s">
        <v>519</v>
      </c>
      <c r="P42" s="481"/>
      <c r="Q42" s="468" t="s">
        <v>44</v>
      </c>
      <c r="R42" s="476">
        <f>42674692.14/S2</f>
        <v>2459650.6112427157</v>
      </c>
      <c r="S42" s="480"/>
      <c r="T42" s="480"/>
      <c r="U42" s="480"/>
      <c r="V42" s="480"/>
      <c r="W42" s="480"/>
      <c r="X42" s="476"/>
    </row>
    <row r="43" spans="1:32" s="460" customFormat="1" ht="13.8" x14ac:dyDescent="0.3">
      <c r="A43" s="799"/>
      <c r="B43" s="786"/>
      <c r="C43" s="788"/>
      <c r="D43" s="788"/>
      <c r="E43" s="788"/>
      <c r="F43" s="804"/>
      <c r="G43" s="788"/>
      <c r="H43" s="788"/>
      <c r="I43" s="470"/>
      <c r="J43" s="470"/>
      <c r="K43" s="470"/>
      <c r="L43" s="470"/>
      <c r="M43" s="470"/>
      <c r="N43" s="470"/>
      <c r="O43" s="470"/>
      <c r="P43" s="470"/>
      <c r="Q43" s="470"/>
      <c r="R43" s="471"/>
      <c r="S43" s="470"/>
      <c r="T43" s="470"/>
      <c r="U43" s="470"/>
      <c r="V43" s="470"/>
      <c r="W43" s="470"/>
      <c r="X43" s="481"/>
    </row>
    <row r="44" spans="1:32" s="460" customFormat="1" ht="13.8" x14ac:dyDescent="0.3">
      <c r="A44" s="799"/>
      <c r="B44" s="786"/>
      <c r="C44" s="470"/>
      <c r="D44" s="470"/>
      <c r="E44" s="470"/>
      <c r="F44" s="470"/>
      <c r="G44" s="470"/>
      <c r="H44" s="470"/>
      <c r="I44" s="468" t="s">
        <v>43</v>
      </c>
      <c r="J44" s="475">
        <v>40603</v>
      </c>
      <c r="K44" s="475">
        <f>J44</f>
        <v>40603</v>
      </c>
      <c r="L44" s="475">
        <f>K44+7</f>
        <v>40610</v>
      </c>
      <c r="M44" s="475">
        <f>L44+7</f>
        <v>40617</v>
      </c>
      <c r="N44" s="475">
        <f>M44+30</f>
        <v>40647</v>
      </c>
      <c r="O44" s="475">
        <f>N44+10</f>
        <v>40657</v>
      </c>
      <c r="P44" s="475">
        <f>O44+10</f>
        <v>40667</v>
      </c>
      <c r="Q44" s="468" t="s">
        <v>43</v>
      </c>
      <c r="R44" s="476"/>
      <c r="S44" s="475">
        <f>P44+5</f>
        <v>40672</v>
      </c>
      <c r="T44" s="475">
        <f>S44+5</f>
        <v>40677</v>
      </c>
      <c r="U44" s="475">
        <f>T44+10</f>
        <v>40687</v>
      </c>
      <c r="V44" s="475">
        <f>U44+390</f>
        <v>41077</v>
      </c>
      <c r="W44" s="477">
        <f>V44+180</f>
        <v>41257</v>
      </c>
      <c r="X44" s="470"/>
    </row>
    <row r="45" spans="1:32" s="460" customFormat="1" ht="13.8" x14ac:dyDescent="0.3">
      <c r="A45" s="799" t="s">
        <v>520</v>
      </c>
      <c r="B45" s="786" t="s">
        <v>521</v>
      </c>
      <c r="C45" s="788"/>
      <c r="D45" s="788" t="s">
        <v>93</v>
      </c>
      <c r="E45" s="788" t="s">
        <v>40</v>
      </c>
      <c r="F45" s="804">
        <f>33121384.27/S2</f>
        <v>1909024.5056167468</v>
      </c>
      <c r="G45" s="788" t="s">
        <v>94</v>
      </c>
      <c r="H45" s="788" t="s">
        <v>94</v>
      </c>
      <c r="I45" s="486" t="s">
        <v>504</v>
      </c>
      <c r="J45" s="477"/>
      <c r="K45" s="477"/>
      <c r="L45" s="477"/>
      <c r="M45" s="477"/>
      <c r="N45" s="477"/>
      <c r="O45" s="477"/>
      <c r="P45" s="477"/>
      <c r="Q45" s="486" t="s">
        <v>504</v>
      </c>
      <c r="R45" s="487"/>
      <c r="S45" s="477"/>
      <c r="T45" s="477"/>
      <c r="U45" s="477">
        <v>41070</v>
      </c>
      <c r="V45" s="477">
        <f>U45+60</f>
        <v>41130</v>
      </c>
      <c r="W45" s="477">
        <f>V45+10</f>
        <v>41140</v>
      </c>
      <c r="X45" s="476"/>
    </row>
    <row r="46" spans="1:32" s="460" customFormat="1" ht="13.8" x14ac:dyDescent="0.3">
      <c r="A46" s="799"/>
      <c r="B46" s="786"/>
      <c r="C46" s="788"/>
      <c r="D46" s="788"/>
      <c r="E46" s="788"/>
      <c r="F46" s="804"/>
      <c r="G46" s="788"/>
      <c r="H46" s="788"/>
      <c r="I46" s="468" t="s">
        <v>44</v>
      </c>
      <c r="J46" s="455"/>
      <c r="K46" s="455"/>
      <c r="L46" s="455"/>
      <c r="M46" s="481" t="s">
        <v>517</v>
      </c>
      <c r="N46" s="481" t="s">
        <v>518</v>
      </c>
      <c r="O46" s="481" t="s">
        <v>522</v>
      </c>
      <c r="P46" s="455"/>
      <c r="Q46" s="468" t="s">
        <v>44</v>
      </c>
      <c r="R46" s="476">
        <f>33121384.27/S2</f>
        <v>1909024.5056167468</v>
      </c>
      <c r="S46" s="488"/>
      <c r="T46" s="481" t="s">
        <v>523</v>
      </c>
      <c r="U46" s="481"/>
      <c r="V46" s="481"/>
      <c r="W46" s="481"/>
      <c r="X46" s="476"/>
    </row>
    <row r="47" spans="1:32" s="460" customFormat="1" ht="13.8" x14ac:dyDescent="0.3">
      <c r="A47" s="799"/>
      <c r="B47" s="786"/>
      <c r="C47" s="788"/>
      <c r="D47" s="788"/>
      <c r="E47" s="788"/>
      <c r="F47" s="804"/>
      <c r="G47" s="788"/>
      <c r="H47" s="788"/>
      <c r="I47" s="470"/>
      <c r="J47" s="470"/>
      <c r="K47" s="470"/>
      <c r="L47" s="470"/>
      <c r="M47" s="470"/>
      <c r="N47" s="470"/>
      <c r="O47" s="470"/>
      <c r="P47" s="470"/>
      <c r="Q47" s="470"/>
      <c r="R47" s="471"/>
      <c r="S47" s="470"/>
      <c r="T47" s="470"/>
      <c r="U47" s="470"/>
      <c r="V47" s="470"/>
      <c r="W47" s="470"/>
      <c r="X47" s="481"/>
    </row>
    <row r="48" spans="1:32" s="460" customFormat="1" ht="13.8" x14ac:dyDescent="0.3">
      <c r="A48" s="799"/>
      <c r="B48" s="786"/>
      <c r="C48" s="470"/>
      <c r="D48" s="470"/>
      <c r="E48" s="470"/>
      <c r="F48" s="470"/>
      <c r="G48" s="470"/>
      <c r="H48" s="470"/>
      <c r="I48" s="468" t="s">
        <v>43</v>
      </c>
      <c r="J48" s="475">
        <v>40603</v>
      </c>
      <c r="K48" s="475">
        <f>J48</f>
        <v>40603</v>
      </c>
      <c r="L48" s="475">
        <f>K48+7</f>
        <v>40610</v>
      </c>
      <c r="M48" s="475">
        <f>L48+7</f>
        <v>40617</v>
      </c>
      <c r="N48" s="475">
        <f>M48+30</f>
        <v>40647</v>
      </c>
      <c r="O48" s="475">
        <f>N48+10</f>
        <v>40657</v>
      </c>
      <c r="P48" s="475">
        <f>O48+10</f>
        <v>40667</v>
      </c>
      <c r="Q48" s="468" t="s">
        <v>43</v>
      </c>
      <c r="R48" s="476"/>
      <c r="S48" s="475">
        <f>P48+5</f>
        <v>40672</v>
      </c>
      <c r="T48" s="475">
        <f>S48+5</f>
        <v>40677</v>
      </c>
      <c r="U48" s="475">
        <f>T48+10</f>
        <v>40687</v>
      </c>
      <c r="V48" s="475">
        <f>U48+390</f>
        <v>41077</v>
      </c>
      <c r="W48" s="477">
        <f>V48+180</f>
        <v>41257</v>
      </c>
      <c r="X48" s="470"/>
    </row>
    <row r="49" spans="1:32" s="460" customFormat="1" ht="13.8" x14ac:dyDescent="0.3">
      <c r="A49" s="799" t="s">
        <v>524</v>
      </c>
      <c r="B49" s="786" t="s">
        <v>521</v>
      </c>
      <c r="C49" s="788"/>
      <c r="D49" s="788" t="s">
        <v>93</v>
      </c>
      <c r="E49" s="788" t="s">
        <v>40</v>
      </c>
      <c r="F49" s="804">
        <f>11876417.83/S2</f>
        <v>684523.70503576379</v>
      </c>
      <c r="G49" s="788" t="s">
        <v>94</v>
      </c>
      <c r="H49" s="788" t="s">
        <v>94</v>
      </c>
      <c r="I49" s="486" t="s">
        <v>504</v>
      </c>
      <c r="J49" s="477"/>
      <c r="K49" s="477"/>
      <c r="L49" s="477"/>
      <c r="M49" s="477"/>
      <c r="N49" s="477"/>
      <c r="O49" s="477"/>
      <c r="P49" s="477"/>
      <c r="Q49" s="486" t="s">
        <v>504</v>
      </c>
      <c r="R49" s="487"/>
      <c r="S49" s="477">
        <v>41070</v>
      </c>
      <c r="T49" s="477">
        <f>S49+5</f>
        <v>41075</v>
      </c>
      <c r="U49" s="477">
        <f>T49+15</f>
        <v>41090</v>
      </c>
      <c r="V49" s="477">
        <f>U49+60</f>
        <v>41150</v>
      </c>
      <c r="W49" s="477">
        <f>V49+10</f>
        <v>41160</v>
      </c>
      <c r="X49" s="476"/>
    </row>
    <row r="50" spans="1:32" s="460" customFormat="1" ht="13.8" x14ac:dyDescent="0.3">
      <c r="A50" s="799"/>
      <c r="B50" s="786"/>
      <c r="C50" s="788"/>
      <c r="D50" s="788"/>
      <c r="E50" s="788"/>
      <c r="F50" s="804"/>
      <c r="G50" s="788"/>
      <c r="H50" s="788"/>
      <c r="I50" s="468" t="s">
        <v>44</v>
      </c>
      <c r="J50" s="455"/>
      <c r="K50" s="455"/>
      <c r="L50" s="455"/>
      <c r="M50" s="481" t="s">
        <v>525</v>
      </c>
      <c r="N50" s="481" t="s">
        <v>526</v>
      </c>
      <c r="O50" s="481" t="s">
        <v>519</v>
      </c>
      <c r="P50" s="481"/>
      <c r="Q50" s="468" t="s">
        <v>44</v>
      </c>
      <c r="R50" s="476">
        <f>11876417.83/S2</f>
        <v>684523.70503576379</v>
      </c>
      <c r="S50" s="481"/>
      <c r="T50" s="481"/>
      <c r="U50" s="481"/>
      <c r="V50" s="481"/>
      <c r="W50" s="481"/>
      <c r="X50" s="476"/>
    </row>
    <row r="51" spans="1:32" s="460" customFormat="1" ht="13.8" x14ac:dyDescent="0.3">
      <c r="A51" s="799"/>
      <c r="B51" s="786"/>
      <c r="C51" s="788"/>
      <c r="D51" s="788"/>
      <c r="E51" s="788"/>
      <c r="F51" s="804"/>
      <c r="G51" s="788"/>
      <c r="H51" s="788"/>
      <c r="I51" s="491"/>
      <c r="J51" s="491"/>
      <c r="K51" s="491"/>
      <c r="L51" s="491"/>
      <c r="M51" s="491"/>
      <c r="N51" s="491"/>
      <c r="O51" s="491"/>
      <c r="P51" s="491"/>
      <c r="Q51" s="491"/>
      <c r="R51" s="492"/>
      <c r="S51" s="491"/>
      <c r="T51" s="491"/>
      <c r="U51" s="491"/>
      <c r="V51" s="491"/>
      <c r="W51" s="491"/>
      <c r="X51" s="501"/>
    </row>
    <row r="52" spans="1:32" s="493" customFormat="1" ht="13.8" x14ac:dyDescent="0.3">
      <c r="A52" s="799"/>
      <c r="B52" s="786"/>
      <c r="C52" s="491"/>
      <c r="D52" s="491"/>
      <c r="E52" s="491"/>
      <c r="F52" s="491"/>
      <c r="G52" s="491"/>
      <c r="H52" s="491"/>
      <c r="I52" s="468" t="s">
        <v>43</v>
      </c>
      <c r="J52" s="475">
        <v>40634</v>
      </c>
      <c r="K52" s="475">
        <f>J52+5</f>
        <v>40639</v>
      </c>
      <c r="L52" s="475">
        <f>K52+7</f>
        <v>40646</v>
      </c>
      <c r="M52" s="475">
        <f>L52+7</f>
        <v>40653</v>
      </c>
      <c r="N52" s="475">
        <f>M52+30</f>
        <v>40683</v>
      </c>
      <c r="O52" s="475">
        <f>N52+10</f>
        <v>40693</v>
      </c>
      <c r="P52" s="475">
        <f>O52+3</f>
        <v>40696</v>
      </c>
      <c r="Q52" s="468" t="s">
        <v>43</v>
      </c>
      <c r="R52" s="476"/>
      <c r="S52" s="475">
        <f>P52+5</f>
        <v>40701</v>
      </c>
      <c r="T52" s="475">
        <f>S52+5</f>
        <v>40706</v>
      </c>
      <c r="U52" s="475">
        <f>T52+10</f>
        <v>40716</v>
      </c>
      <c r="V52" s="475">
        <f>U52+420</f>
        <v>41136</v>
      </c>
      <c r="W52" s="185">
        <f>V52+180</f>
        <v>41316</v>
      </c>
      <c r="X52" s="491"/>
    </row>
    <row r="53" spans="1:32" s="479" customFormat="1" ht="13.2" x14ac:dyDescent="0.3">
      <c r="A53" s="805" t="s">
        <v>722</v>
      </c>
      <c r="B53" s="786" t="s">
        <v>527</v>
      </c>
      <c r="C53" s="788"/>
      <c r="D53" s="788" t="s">
        <v>93</v>
      </c>
      <c r="E53" s="788" t="s">
        <v>40</v>
      </c>
      <c r="F53" s="804">
        <f>(15588601.7/S2)+925649.5</f>
        <v>1824133.1627300445</v>
      </c>
      <c r="G53" s="788" t="s">
        <v>94</v>
      </c>
      <c r="H53" s="788" t="s">
        <v>94</v>
      </c>
      <c r="I53" s="468" t="s">
        <v>50</v>
      </c>
      <c r="J53" s="475"/>
      <c r="K53" s="475"/>
      <c r="L53" s="475"/>
      <c r="M53" s="475">
        <v>40959</v>
      </c>
      <c r="N53" s="475">
        <f>M53+40</f>
        <v>40999</v>
      </c>
      <c r="O53" s="475">
        <f>N53+7</f>
        <v>41006</v>
      </c>
      <c r="P53" s="475">
        <f>O53+3</f>
        <v>41009</v>
      </c>
      <c r="Q53" s="468"/>
      <c r="R53" s="476"/>
      <c r="S53" s="475">
        <f>P53+10</f>
        <v>41019</v>
      </c>
      <c r="T53" s="475">
        <f>S53+10</f>
        <v>41029</v>
      </c>
      <c r="U53" s="475">
        <f>T53+15</f>
        <v>41044</v>
      </c>
      <c r="V53" s="475">
        <f>U53+240</f>
        <v>41284</v>
      </c>
      <c r="W53" s="475">
        <f>V53+365</f>
        <v>41649</v>
      </c>
      <c r="X53" s="476"/>
    </row>
    <row r="54" spans="1:32" s="39" customFormat="1" ht="13.8" x14ac:dyDescent="0.3">
      <c r="A54" s="805"/>
      <c r="B54" s="786"/>
      <c r="C54" s="788"/>
      <c r="D54" s="788"/>
      <c r="E54" s="788"/>
      <c r="F54" s="804"/>
      <c r="G54" s="788"/>
      <c r="H54" s="788"/>
      <c r="I54" s="486" t="s">
        <v>504</v>
      </c>
      <c r="J54" s="477"/>
      <c r="K54" s="477"/>
      <c r="L54" s="477"/>
      <c r="M54" s="477"/>
      <c r="N54" s="477"/>
      <c r="O54" s="477"/>
      <c r="P54" s="477"/>
      <c r="Q54" s="486" t="s">
        <v>504</v>
      </c>
      <c r="R54" s="487"/>
      <c r="S54" s="477"/>
      <c r="T54" s="477"/>
      <c r="U54" s="477"/>
      <c r="V54" s="477"/>
      <c r="W54" s="488" t="s">
        <v>775</v>
      </c>
      <c r="X54" s="476"/>
      <c r="Y54" s="460"/>
      <c r="Z54" s="460"/>
      <c r="AA54" s="460"/>
      <c r="AB54" s="460"/>
      <c r="AC54" s="460"/>
      <c r="AD54" s="460"/>
      <c r="AE54" s="460"/>
      <c r="AF54" s="460"/>
    </row>
    <row r="55" spans="1:32" s="39" customFormat="1" ht="13.8" x14ac:dyDescent="0.3">
      <c r="A55" s="805"/>
      <c r="B55" s="786"/>
      <c r="C55" s="788"/>
      <c r="D55" s="788"/>
      <c r="E55" s="788"/>
      <c r="F55" s="804"/>
      <c r="G55" s="788"/>
      <c r="H55" s="788"/>
      <c r="I55" s="468" t="s">
        <v>44</v>
      </c>
      <c r="J55" s="455"/>
      <c r="K55" s="455"/>
      <c r="L55" s="455"/>
      <c r="M55" s="455"/>
      <c r="N55" s="455"/>
      <c r="O55" s="455"/>
      <c r="P55" s="455"/>
      <c r="Q55" s="468" t="s">
        <v>44</v>
      </c>
      <c r="R55" s="476">
        <f>50503771.61/17.3499</f>
        <v>2910896.9855734035</v>
      </c>
      <c r="S55" s="481" t="s">
        <v>726</v>
      </c>
      <c r="T55" s="481" t="s">
        <v>725</v>
      </c>
      <c r="U55" s="480">
        <f>T55+10</f>
        <v>41078</v>
      </c>
      <c r="V55" s="481" t="s">
        <v>727</v>
      </c>
      <c r="W55" s="481"/>
      <c r="X55" s="476"/>
      <c r="Y55" s="460"/>
      <c r="Z55" s="460"/>
      <c r="AA55" s="460"/>
      <c r="AB55" s="460"/>
      <c r="AC55" s="460"/>
      <c r="AD55" s="460"/>
      <c r="AE55" s="460"/>
      <c r="AF55" s="460"/>
    </row>
    <row r="56" spans="1:32" s="479" customFormat="1" ht="13.2" x14ac:dyDescent="0.3">
      <c r="A56" s="805"/>
      <c r="B56" s="786"/>
      <c r="C56" s="788"/>
      <c r="D56" s="788"/>
      <c r="E56" s="788"/>
      <c r="F56" s="804"/>
      <c r="G56" s="788"/>
      <c r="H56" s="788"/>
      <c r="I56" s="470"/>
      <c r="J56" s="470"/>
      <c r="K56" s="470"/>
      <c r="L56" s="470"/>
      <c r="M56" s="470"/>
      <c r="N56" s="470"/>
      <c r="O56" s="470"/>
      <c r="P56" s="470"/>
      <c r="Q56" s="470"/>
      <c r="R56" s="471"/>
      <c r="S56" s="470"/>
      <c r="T56" s="470"/>
      <c r="U56" s="470"/>
      <c r="V56" s="470"/>
      <c r="W56" s="470"/>
      <c r="X56" s="501"/>
    </row>
    <row r="57" spans="1:32" s="479" customFormat="1" ht="13.2" x14ac:dyDescent="0.3">
      <c r="A57" s="805"/>
      <c r="B57" s="786"/>
      <c r="C57" s="470"/>
      <c r="D57" s="470"/>
      <c r="E57" s="470"/>
      <c r="F57" s="470"/>
      <c r="G57" s="470"/>
      <c r="H57" s="470"/>
      <c r="I57" s="468" t="s">
        <v>43</v>
      </c>
      <c r="J57" s="475">
        <v>40634</v>
      </c>
      <c r="K57" s="475">
        <f>J57+5</f>
        <v>40639</v>
      </c>
      <c r="L57" s="475">
        <f>K57+7</f>
        <v>40646</v>
      </c>
      <c r="M57" s="475">
        <f>L57+7</f>
        <v>40653</v>
      </c>
      <c r="N57" s="475">
        <f>M57+30</f>
        <v>40683</v>
      </c>
      <c r="O57" s="475">
        <f>N57+10</f>
        <v>40693</v>
      </c>
      <c r="P57" s="475">
        <f>O57+3</f>
        <v>40696</v>
      </c>
      <c r="Q57" s="468" t="s">
        <v>43</v>
      </c>
      <c r="R57" s="476"/>
      <c r="S57" s="475">
        <f>P57+5</f>
        <v>40701</v>
      </c>
      <c r="T57" s="475">
        <f>S57+5</f>
        <v>40706</v>
      </c>
      <c r="U57" s="475">
        <f>T57+10</f>
        <v>40716</v>
      </c>
      <c r="V57" s="475">
        <f>U57+420</f>
        <v>41136</v>
      </c>
      <c r="W57" s="185">
        <f>V57+180</f>
        <v>41316</v>
      </c>
      <c r="X57" s="502"/>
    </row>
    <row r="58" spans="1:32" s="479" customFormat="1" ht="13.2" x14ac:dyDescent="0.3">
      <c r="A58" s="805" t="s">
        <v>723</v>
      </c>
      <c r="B58" s="786" t="s">
        <v>528</v>
      </c>
      <c r="C58" s="788"/>
      <c r="D58" s="788" t="s">
        <v>93</v>
      </c>
      <c r="E58" s="788" t="s">
        <v>40</v>
      </c>
      <c r="F58" s="804">
        <f>(20208009.92/S2)+1736394.12</f>
        <v>2901127.629703226</v>
      </c>
      <c r="G58" s="788" t="s">
        <v>94</v>
      </c>
      <c r="H58" s="788" t="s">
        <v>94</v>
      </c>
      <c r="I58" s="468" t="s">
        <v>50</v>
      </c>
      <c r="J58" s="475"/>
      <c r="K58" s="475"/>
      <c r="L58" s="475"/>
      <c r="M58" s="475">
        <v>40959</v>
      </c>
      <c r="N58" s="475">
        <f>M58+40</f>
        <v>40999</v>
      </c>
      <c r="O58" s="475">
        <f>N58+7</f>
        <v>41006</v>
      </c>
      <c r="P58" s="475">
        <f>O58+3</f>
        <v>41009</v>
      </c>
      <c r="Q58" s="468"/>
      <c r="R58" s="476"/>
      <c r="S58" s="475">
        <f>P58+10</f>
        <v>41019</v>
      </c>
      <c r="T58" s="475">
        <f>S58+10</f>
        <v>41029</v>
      </c>
      <c r="U58" s="475">
        <f>T58+15</f>
        <v>41044</v>
      </c>
      <c r="V58" s="475">
        <f>U58+240</f>
        <v>41284</v>
      </c>
      <c r="W58" s="475">
        <f>V58+365</f>
        <v>41649</v>
      </c>
      <c r="X58" s="476"/>
    </row>
    <row r="59" spans="1:32" s="39" customFormat="1" ht="13.8" x14ac:dyDescent="0.3">
      <c r="A59" s="805"/>
      <c r="B59" s="786"/>
      <c r="C59" s="788"/>
      <c r="D59" s="788"/>
      <c r="E59" s="788"/>
      <c r="F59" s="804"/>
      <c r="G59" s="788"/>
      <c r="H59" s="788"/>
      <c r="I59" s="486" t="s">
        <v>504</v>
      </c>
      <c r="J59" s="477">
        <v>41065</v>
      </c>
      <c r="K59" s="477"/>
      <c r="L59" s="477">
        <f>J59+10</f>
        <v>41075</v>
      </c>
      <c r="M59" s="477">
        <f>L59+10</f>
        <v>41085</v>
      </c>
      <c r="N59" s="477">
        <f>M59+30</f>
        <v>41115</v>
      </c>
      <c r="O59" s="477">
        <f>N59+10</f>
        <v>41125</v>
      </c>
      <c r="P59" s="477"/>
      <c r="Q59" s="486" t="s">
        <v>504</v>
      </c>
      <c r="R59" s="487"/>
      <c r="S59" s="477">
        <f>O59+7</f>
        <v>41132</v>
      </c>
      <c r="T59" s="477">
        <f>S59+5</f>
        <v>41137</v>
      </c>
      <c r="U59" s="477">
        <f>T59+15</f>
        <v>41152</v>
      </c>
      <c r="V59" s="477">
        <f>U59+60</f>
        <v>41212</v>
      </c>
      <c r="W59" s="477">
        <f>V59+365</f>
        <v>41577</v>
      </c>
      <c r="X59" s="476"/>
    </row>
    <row r="60" spans="1:32" s="39" customFormat="1" ht="13.8" x14ac:dyDescent="0.3">
      <c r="A60" s="805"/>
      <c r="B60" s="786"/>
      <c r="C60" s="788"/>
      <c r="D60" s="788"/>
      <c r="E60" s="788"/>
      <c r="F60" s="804"/>
      <c r="G60" s="788"/>
      <c r="H60" s="788"/>
      <c r="I60" s="468" t="s">
        <v>44</v>
      </c>
      <c r="J60" s="481"/>
      <c r="K60" s="481"/>
      <c r="L60" s="481"/>
      <c r="M60" s="481"/>
      <c r="N60" s="481"/>
      <c r="O60" s="481"/>
      <c r="P60" s="481"/>
      <c r="Q60" s="468" t="s">
        <v>44</v>
      </c>
      <c r="R60" s="476"/>
      <c r="S60" s="481"/>
      <c r="T60" s="481"/>
      <c r="U60" s="481"/>
      <c r="V60" s="481"/>
      <c r="W60" s="481"/>
      <c r="X60" s="476"/>
    </row>
    <row r="61" spans="1:32" s="479" customFormat="1" ht="13.2" x14ac:dyDescent="0.3">
      <c r="A61" s="805"/>
      <c r="B61" s="786"/>
      <c r="C61" s="788"/>
      <c r="D61" s="788"/>
      <c r="E61" s="788"/>
      <c r="F61" s="804"/>
      <c r="G61" s="788"/>
      <c r="H61" s="788"/>
      <c r="I61" s="470"/>
      <c r="J61" s="470"/>
      <c r="K61" s="470"/>
      <c r="L61" s="470"/>
      <c r="M61" s="470"/>
      <c r="N61" s="470"/>
      <c r="O61" s="470"/>
      <c r="P61" s="470"/>
      <c r="Q61" s="470"/>
      <c r="R61" s="471"/>
      <c r="S61" s="470"/>
      <c r="T61" s="470"/>
      <c r="U61" s="470"/>
      <c r="V61" s="470"/>
      <c r="W61" s="470"/>
      <c r="X61" s="501"/>
    </row>
    <row r="62" spans="1:32" s="479" customFormat="1" ht="13.2" x14ac:dyDescent="0.3">
      <c r="A62" s="805"/>
      <c r="B62" s="786"/>
      <c r="C62" s="470"/>
      <c r="D62" s="470"/>
      <c r="E62" s="470"/>
      <c r="F62" s="470"/>
      <c r="G62" s="470"/>
      <c r="H62" s="470"/>
      <c r="I62" s="468" t="s">
        <v>43</v>
      </c>
      <c r="J62" s="475">
        <v>40634</v>
      </c>
      <c r="K62" s="475">
        <f>J62+5</f>
        <v>40639</v>
      </c>
      <c r="L62" s="475">
        <f>K62+7</f>
        <v>40646</v>
      </c>
      <c r="M62" s="475">
        <f>L62+7</f>
        <v>40653</v>
      </c>
      <c r="N62" s="475">
        <f>M62+30</f>
        <v>40683</v>
      </c>
      <c r="O62" s="475">
        <f>N62+10</f>
        <v>40693</v>
      </c>
      <c r="P62" s="475">
        <f>O62+3</f>
        <v>40696</v>
      </c>
      <c r="Q62" s="468" t="s">
        <v>43</v>
      </c>
      <c r="R62" s="476"/>
      <c r="S62" s="475">
        <f>P62+5</f>
        <v>40701</v>
      </c>
      <c r="T62" s="475">
        <f>S62+5</f>
        <v>40706</v>
      </c>
      <c r="U62" s="475">
        <f>T62+10</f>
        <v>40716</v>
      </c>
      <c r="V62" s="475">
        <f>U62+420</f>
        <v>41136</v>
      </c>
      <c r="W62" s="477">
        <f>V62+180</f>
        <v>41316</v>
      </c>
      <c r="X62" s="502"/>
    </row>
    <row r="63" spans="1:32" s="479" customFormat="1" ht="13.2" x14ac:dyDescent="0.3">
      <c r="A63" s="805" t="s">
        <v>724</v>
      </c>
      <c r="B63" s="786" t="s">
        <v>529</v>
      </c>
      <c r="C63" s="788"/>
      <c r="D63" s="788" t="s">
        <v>93</v>
      </c>
      <c r="E63" s="788" t="s">
        <v>40</v>
      </c>
      <c r="F63" s="804">
        <f>(10347401.71/S2)+1124376.87</f>
        <v>1720772.3368326621</v>
      </c>
      <c r="G63" s="788" t="s">
        <v>94</v>
      </c>
      <c r="H63" s="788" t="s">
        <v>94</v>
      </c>
      <c r="I63" s="468" t="s">
        <v>50</v>
      </c>
      <c r="J63" s="475"/>
      <c r="K63" s="475"/>
      <c r="L63" s="475"/>
      <c r="M63" s="475">
        <v>40959</v>
      </c>
      <c r="N63" s="475">
        <f>M63+40</f>
        <v>40999</v>
      </c>
      <c r="O63" s="475">
        <f>N63+7</f>
        <v>41006</v>
      </c>
      <c r="P63" s="475">
        <f>O63+3</f>
        <v>41009</v>
      </c>
      <c r="Q63" s="468"/>
      <c r="R63" s="476"/>
      <c r="S63" s="475">
        <f>P63+10</f>
        <v>41019</v>
      </c>
      <c r="T63" s="475">
        <f>S63+10</f>
        <v>41029</v>
      </c>
      <c r="U63" s="475">
        <f>T63+15</f>
        <v>41044</v>
      </c>
      <c r="V63" s="475">
        <f>U63+240</f>
        <v>41284</v>
      </c>
      <c r="W63" s="475">
        <f>V63+365</f>
        <v>41649</v>
      </c>
      <c r="X63" s="476"/>
    </row>
    <row r="64" spans="1:32" s="39" customFormat="1" ht="13.8" x14ac:dyDescent="0.3">
      <c r="A64" s="817"/>
      <c r="B64" s="787"/>
      <c r="C64" s="800"/>
      <c r="D64" s="800"/>
      <c r="E64" s="800"/>
      <c r="F64" s="813"/>
      <c r="G64" s="800"/>
      <c r="H64" s="800"/>
      <c r="I64" s="486" t="s">
        <v>504</v>
      </c>
      <c r="J64" s="477"/>
      <c r="K64" s="477"/>
      <c r="L64" s="477"/>
      <c r="M64" s="477"/>
      <c r="N64" s="477"/>
      <c r="O64" s="477"/>
      <c r="P64" s="477"/>
      <c r="Q64" s="486" t="s">
        <v>504</v>
      </c>
      <c r="R64" s="487"/>
      <c r="S64" s="477"/>
      <c r="T64" s="477"/>
      <c r="U64" s="477"/>
      <c r="V64" s="477">
        <f>U65+280</f>
        <v>41361</v>
      </c>
      <c r="W64" s="477">
        <f>V64+365</f>
        <v>41726</v>
      </c>
      <c r="X64" s="476"/>
    </row>
    <row r="65" spans="1:24" s="39" customFormat="1" thickBot="1" x14ac:dyDescent="0.35">
      <c r="A65" s="817"/>
      <c r="B65" s="787"/>
      <c r="C65" s="800"/>
      <c r="D65" s="800"/>
      <c r="E65" s="800"/>
      <c r="F65" s="813"/>
      <c r="G65" s="800"/>
      <c r="H65" s="800"/>
      <c r="I65" s="494" t="s">
        <v>44</v>
      </c>
      <c r="J65" s="500"/>
      <c r="K65" s="500"/>
      <c r="L65" s="500"/>
      <c r="M65" s="500"/>
      <c r="N65" s="500"/>
      <c r="O65" s="500"/>
      <c r="P65" s="500"/>
      <c r="Q65" s="494" t="s">
        <v>44</v>
      </c>
      <c r="R65" s="495">
        <f>53077944.44/17.3499</f>
        <v>3059265.1508077853</v>
      </c>
      <c r="S65" s="496">
        <v>41059</v>
      </c>
      <c r="T65" s="496">
        <v>41071</v>
      </c>
      <c r="U65" s="496">
        <f>T65+10</f>
        <v>41081</v>
      </c>
      <c r="V65" s="497"/>
      <c r="W65" s="496"/>
      <c r="X65" s="476"/>
    </row>
    <row r="66" spans="1:24" s="479" customFormat="1" ht="13.8" thickBot="1" x14ac:dyDescent="0.35">
      <c r="A66" s="818"/>
      <c r="B66" s="819"/>
      <c r="C66" s="816"/>
      <c r="D66" s="816"/>
      <c r="E66" s="816"/>
      <c r="F66" s="820"/>
      <c r="G66" s="816"/>
      <c r="H66" s="816"/>
      <c r="I66" s="470"/>
      <c r="J66" s="470"/>
      <c r="K66" s="470"/>
      <c r="L66" s="470"/>
      <c r="M66" s="470"/>
      <c r="N66" s="470"/>
      <c r="O66" s="470"/>
      <c r="P66" s="470"/>
      <c r="Q66" s="470"/>
      <c r="R66" s="471"/>
      <c r="S66" s="470"/>
      <c r="T66" s="470"/>
      <c r="U66" s="470"/>
      <c r="V66" s="470"/>
      <c r="W66" s="470"/>
      <c r="X66" s="501"/>
    </row>
    <row r="67" spans="1:24" s="460" customFormat="1" ht="13.8" x14ac:dyDescent="0.3">
      <c r="A67" s="498"/>
      <c r="B67" s="499"/>
      <c r="C67" s="470"/>
      <c r="D67" s="470"/>
      <c r="E67" s="470"/>
      <c r="F67" s="470"/>
      <c r="G67" s="470"/>
      <c r="H67" s="470"/>
      <c r="I67" s="468"/>
      <c r="J67" s="470"/>
      <c r="K67" s="470"/>
      <c r="L67" s="470"/>
      <c r="M67" s="470"/>
      <c r="N67" s="470"/>
      <c r="O67" s="470"/>
      <c r="P67" s="470"/>
      <c r="Q67" s="468"/>
      <c r="R67" s="468"/>
      <c r="S67" s="470"/>
      <c r="T67" s="470"/>
      <c r="U67" s="470"/>
      <c r="V67" s="470"/>
      <c r="W67" s="470"/>
      <c r="X67" s="502"/>
    </row>
    <row r="68" spans="1:24" x14ac:dyDescent="0.3">
      <c r="A68" s="783" t="s">
        <v>782</v>
      </c>
      <c r="B68" s="786" t="s">
        <v>776</v>
      </c>
      <c r="C68" s="788"/>
      <c r="D68" s="788" t="s">
        <v>93</v>
      </c>
      <c r="E68" s="788" t="s">
        <v>40</v>
      </c>
      <c r="F68" s="789">
        <v>425777.67</v>
      </c>
      <c r="G68" s="788" t="s">
        <v>94</v>
      </c>
      <c r="H68" s="788" t="s">
        <v>94</v>
      </c>
      <c r="I68" s="468" t="s">
        <v>43</v>
      </c>
      <c r="J68" s="475">
        <f>K68-10</f>
        <v>40323</v>
      </c>
      <c r="K68" s="475">
        <v>40333</v>
      </c>
      <c r="L68" s="475">
        <f>K68+7</f>
        <v>40340</v>
      </c>
      <c r="M68" s="475">
        <f>L68+17</f>
        <v>40357</v>
      </c>
      <c r="N68" s="475">
        <f>M68+30</f>
        <v>40387</v>
      </c>
      <c r="O68" s="475">
        <f>N68+21</f>
        <v>40408</v>
      </c>
      <c r="P68" s="475">
        <f>O68+10</f>
        <v>40418</v>
      </c>
      <c r="Q68" s="468" t="s">
        <v>43</v>
      </c>
      <c r="R68" s="175"/>
      <c r="S68" s="475">
        <f>P68+10</f>
        <v>40428</v>
      </c>
      <c r="T68" s="475">
        <f>S68+10</f>
        <v>40438</v>
      </c>
      <c r="U68" s="475">
        <f>T68+15</f>
        <v>40453</v>
      </c>
      <c r="V68" s="475">
        <f>U68+360</f>
        <v>40813</v>
      </c>
      <c r="W68" s="475">
        <f>V68+365</f>
        <v>41178</v>
      </c>
      <c r="X68" s="175"/>
    </row>
    <row r="69" spans="1:24" ht="26.4" x14ac:dyDescent="0.3">
      <c r="A69" s="784"/>
      <c r="B69" s="786"/>
      <c r="C69" s="788"/>
      <c r="D69" s="788"/>
      <c r="E69" s="788"/>
      <c r="F69" s="789"/>
      <c r="G69" s="788"/>
      <c r="H69" s="788"/>
      <c r="I69" s="468" t="s">
        <v>226</v>
      </c>
      <c r="J69" s="475"/>
      <c r="K69" s="475"/>
      <c r="L69" s="475"/>
      <c r="M69" s="475"/>
      <c r="N69" s="475"/>
      <c r="O69" s="475"/>
      <c r="P69" s="475"/>
      <c r="Q69" s="468" t="s">
        <v>226</v>
      </c>
      <c r="R69" s="175"/>
      <c r="S69" s="481"/>
      <c r="T69" s="481" t="s">
        <v>777</v>
      </c>
      <c r="U69" s="503">
        <f>T69+7</f>
        <v>40889</v>
      </c>
      <c r="V69" s="475">
        <f>U69+120</f>
        <v>41009</v>
      </c>
      <c r="W69" s="475">
        <f>V69+365</f>
        <v>41374</v>
      </c>
      <c r="X69" s="175"/>
    </row>
    <row r="70" spans="1:24" x14ac:dyDescent="0.3">
      <c r="A70" s="784"/>
      <c r="B70" s="786"/>
      <c r="C70" s="788"/>
      <c r="D70" s="788"/>
      <c r="E70" s="788"/>
      <c r="F70" s="789"/>
      <c r="G70" s="788"/>
      <c r="H70" s="788"/>
      <c r="I70" s="468" t="s">
        <v>44</v>
      </c>
      <c r="J70" s="481"/>
      <c r="K70" s="481"/>
      <c r="L70" s="481"/>
      <c r="M70" s="475">
        <v>40757</v>
      </c>
      <c r="N70" s="475">
        <v>40791</v>
      </c>
      <c r="O70" s="475" t="s">
        <v>778</v>
      </c>
      <c r="P70" s="503" t="s">
        <v>779</v>
      </c>
      <c r="Q70" s="468" t="s">
        <v>44</v>
      </c>
      <c r="R70" s="175">
        <v>631006.98</v>
      </c>
      <c r="S70" s="503">
        <f>T69-5</f>
        <v>40877</v>
      </c>
      <c r="T70" s="481"/>
      <c r="U70" s="481"/>
      <c r="V70" s="481"/>
      <c r="W70" s="481"/>
      <c r="X70" s="455"/>
    </row>
    <row r="71" spans="1:24" x14ac:dyDescent="0.3">
      <c r="A71" s="796"/>
      <c r="B71" s="786"/>
      <c r="C71" s="470"/>
      <c r="D71" s="470"/>
      <c r="E71" s="470"/>
      <c r="F71" s="328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540"/>
      <c r="S71" s="470"/>
      <c r="T71" s="470"/>
      <c r="U71" s="470"/>
      <c r="V71" s="470"/>
      <c r="W71" s="470"/>
      <c r="X71" s="328"/>
    </row>
    <row r="72" spans="1:24" x14ac:dyDescent="0.3">
      <c r="A72" s="783" t="s">
        <v>783</v>
      </c>
      <c r="B72" s="786" t="s">
        <v>780</v>
      </c>
      <c r="C72" s="788"/>
      <c r="D72" s="788" t="s">
        <v>93</v>
      </c>
      <c r="E72" s="788" t="s">
        <v>40</v>
      </c>
      <c r="F72" s="789">
        <v>1954957.94</v>
      </c>
      <c r="G72" s="788" t="s">
        <v>94</v>
      </c>
      <c r="H72" s="788" t="s">
        <v>94</v>
      </c>
      <c r="I72" s="468" t="s">
        <v>43</v>
      </c>
      <c r="J72" s="475">
        <v>40405</v>
      </c>
      <c r="K72" s="475">
        <f>J72+10</f>
        <v>40415</v>
      </c>
      <c r="L72" s="475">
        <f>K72+7</f>
        <v>40422</v>
      </c>
      <c r="M72" s="475">
        <f>L72</f>
        <v>40422</v>
      </c>
      <c r="N72" s="475">
        <f>M72+30</f>
        <v>40452</v>
      </c>
      <c r="O72" s="475">
        <f>N72+21</f>
        <v>40473</v>
      </c>
      <c r="P72" s="475">
        <f>O72+10</f>
        <v>40483</v>
      </c>
      <c r="Q72" s="468" t="s">
        <v>43</v>
      </c>
      <c r="R72" s="175"/>
      <c r="S72" s="475">
        <f>P72+10</f>
        <v>40493</v>
      </c>
      <c r="T72" s="475">
        <f>S72+10</f>
        <v>40503</v>
      </c>
      <c r="U72" s="475">
        <f>T72+15</f>
        <v>40518</v>
      </c>
      <c r="V72" s="475">
        <f>U72+360</f>
        <v>40878</v>
      </c>
      <c r="W72" s="475">
        <f>V72+365</f>
        <v>41243</v>
      </c>
      <c r="X72" s="175"/>
    </row>
    <row r="73" spans="1:24" ht="26.4" x14ac:dyDescent="0.3">
      <c r="A73" s="784"/>
      <c r="B73" s="786"/>
      <c r="C73" s="788"/>
      <c r="D73" s="788"/>
      <c r="E73" s="788"/>
      <c r="F73" s="789"/>
      <c r="G73" s="788"/>
      <c r="H73" s="788"/>
      <c r="I73" s="504" t="s">
        <v>226</v>
      </c>
      <c r="J73" s="475"/>
      <c r="K73" s="475"/>
      <c r="L73" s="475"/>
      <c r="M73" s="475"/>
      <c r="N73" s="475"/>
      <c r="O73" s="475"/>
      <c r="P73" s="475"/>
      <c r="Q73" s="504" t="s">
        <v>226</v>
      </c>
      <c r="R73" s="175"/>
      <c r="S73" s="475"/>
      <c r="T73" s="475"/>
      <c r="U73" s="475"/>
      <c r="V73" s="503">
        <f>U74+540</f>
        <v>41181</v>
      </c>
      <c r="W73" s="503">
        <f>V73+365</f>
        <v>41546</v>
      </c>
      <c r="X73" s="175"/>
    </row>
    <row r="74" spans="1:24" x14ac:dyDescent="0.3">
      <c r="A74" s="784"/>
      <c r="B74" s="786"/>
      <c r="C74" s="788"/>
      <c r="D74" s="788"/>
      <c r="E74" s="788"/>
      <c r="F74" s="789"/>
      <c r="G74" s="788"/>
      <c r="H74" s="788"/>
      <c r="I74" s="468" t="s">
        <v>44</v>
      </c>
      <c r="J74" s="481"/>
      <c r="K74" s="481"/>
      <c r="L74" s="481"/>
      <c r="M74" s="481"/>
      <c r="N74" s="481"/>
      <c r="O74" s="481"/>
      <c r="P74" s="481"/>
      <c r="Q74" s="468" t="s">
        <v>44</v>
      </c>
      <c r="R74" s="175">
        <v>1998071.74</v>
      </c>
      <c r="S74" s="480">
        <v>40618</v>
      </c>
      <c r="T74" s="481" t="s">
        <v>781</v>
      </c>
      <c r="U74" s="481" t="s">
        <v>586</v>
      </c>
      <c r="V74" s="481"/>
      <c r="W74" s="481"/>
      <c r="X74" s="455"/>
    </row>
    <row r="75" spans="1:24" ht="15" thickBot="1" x14ac:dyDescent="0.35">
      <c r="A75" s="785"/>
      <c r="B75" s="787"/>
      <c r="C75" s="505"/>
      <c r="D75" s="505"/>
      <c r="E75" s="505"/>
      <c r="F75" s="514"/>
      <c r="G75" s="505"/>
      <c r="H75" s="505"/>
      <c r="I75" s="505"/>
      <c r="J75" s="505"/>
      <c r="K75" s="505"/>
      <c r="L75" s="505"/>
      <c r="M75" s="505"/>
      <c r="N75" s="505"/>
      <c r="O75" s="505"/>
      <c r="P75" s="505"/>
      <c r="Q75" s="505"/>
      <c r="R75" s="541"/>
      <c r="S75" s="505"/>
      <c r="T75" s="505"/>
      <c r="U75" s="505"/>
      <c r="V75" s="505"/>
      <c r="W75" s="505"/>
      <c r="X75" s="538"/>
    </row>
    <row r="76" spans="1:24" ht="15.6" thickTop="1" thickBot="1" x14ac:dyDescent="0.35">
      <c r="A76" s="790" t="s">
        <v>530</v>
      </c>
      <c r="B76" s="791"/>
      <c r="C76" s="791"/>
      <c r="D76" s="791"/>
      <c r="E76" s="792"/>
      <c r="F76" s="542">
        <f>SUM(F10:F75)</f>
        <v>14846062.559402302</v>
      </c>
      <c r="G76" s="543"/>
      <c r="H76" s="544"/>
      <c r="I76" s="543"/>
      <c r="J76" s="544"/>
      <c r="K76" s="544"/>
      <c r="L76" s="544"/>
      <c r="M76" s="544"/>
      <c r="N76" s="544"/>
      <c r="O76" s="544"/>
      <c r="P76" s="544"/>
      <c r="Q76" s="543"/>
      <c r="R76" s="542">
        <f>SUM(R10:R75)</f>
        <v>15984022.312783703</v>
      </c>
      <c r="S76" s="506"/>
      <c r="T76" s="506"/>
      <c r="U76" s="506"/>
      <c r="V76" s="506"/>
      <c r="W76" s="506"/>
      <c r="X76" s="539"/>
    </row>
    <row r="77" spans="1:24" ht="15" thickTop="1" x14ac:dyDescent="0.3">
      <c r="A77" s="498"/>
      <c r="B77" s="499"/>
      <c r="C77" s="470"/>
      <c r="D77" s="470"/>
      <c r="E77" s="470"/>
      <c r="F77" s="470"/>
      <c r="G77" s="470"/>
      <c r="H77" s="470"/>
      <c r="I77" s="468"/>
      <c r="J77" s="470"/>
      <c r="K77" s="470"/>
      <c r="L77" s="470"/>
      <c r="M77" s="470"/>
      <c r="N77" s="470"/>
      <c r="O77" s="470"/>
      <c r="P77" s="470"/>
      <c r="Q77" s="468"/>
      <c r="R77" s="468"/>
      <c r="S77" s="470"/>
      <c r="T77" s="470"/>
      <c r="U77" s="470"/>
      <c r="V77" s="470"/>
      <c r="W77" s="470"/>
      <c r="X77" s="470"/>
    </row>
  </sheetData>
  <mergeCells count="146">
    <mergeCell ref="G63:G66"/>
    <mergeCell ref="H63:H66"/>
    <mergeCell ref="A63:A66"/>
    <mergeCell ref="B63:B66"/>
    <mergeCell ref="C63:C66"/>
    <mergeCell ref="D63:D66"/>
    <mergeCell ref="E63:E66"/>
    <mergeCell ref="F63:F66"/>
    <mergeCell ref="G53:G56"/>
    <mergeCell ref="H53:H56"/>
    <mergeCell ref="A58:A62"/>
    <mergeCell ref="B58:B62"/>
    <mergeCell ref="C58:C61"/>
    <mergeCell ref="D58:D61"/>
    <mergeCell ref="E58:E61"/>
    <mergeCell ref="F58:F61"/>
    <mergeCell ref="G58:G61"/>
    <mergeCell ref="H58:H61"/>
    <mergeCell ref="A53:A57"/>
    <mergeCell ref="B53:B57"/>
    <mergeCell ref="C53:C56"/>
    <mergeCell ref="D53:D56"/>
    <mergeCell ref="E53:E56"/>
    <mergeCell ref="F53:F56"/>
    <mergeCell ref="G45:G47"/>
    <mergeCell ref="H45:H47"/>
    <mergeCell ref="A49:A52"/>
    <mergeCell ref="B49:B52"/>
    <mergeCell ref="C49:C51"/>
    <mergeCell ref="D49:D51"/>
    <mergeCell ref="E49:E51"/>
    <mergeCell ref="F49:F51"/>
    <mergeCell ref="G49:G51"/>
    <mergeCell ref="H49:H51"/>
    <mergeCell ref="A45:A48"/>
    <mergeCell ref="B45:B48"/>
    <mergeCell ref="C45:C47"/>
    <mergeCell ref="D45:D47"/>
    <mergeCell ref="E45:E47"/>
    <mergeCell ref="F45:F47"/>
    <mergeCell ref="G36:G39"/>
    <mergeCell ref="H36:H39"/>
    <mergeCell ref="A41:A44"/>
    <mergeCell ref="B41:B44"/>
    <mergeCell ref="C41:C43"/>
    <mergeCell ref="D41:D43"/>
    <mergeCell ref="E41:E43"/>
    <mergeCell ref="F41:F43"/>
    <mergeCell ref="G41:G43"/>
    <mergeCell ref="H41:H43"/>
    <mergeCell ref="A36:A40"/>
    <mergeCell ref="B36:B40"/>
    <mergeCell ref="C36:C39"/>
    <mergeCell ref="D36:D39"/>
    <mergeCell ref="E36:E39"/>
    <mergeCell ref="F36:F39"/>
    <mergeCell ref="G27:G30"/>
    <mergeCell ref="H27:H30"/>
    <mergeCell ref="A32:A35"/>
    <mergeCell ref="B32:B35"/>
    <mergeCell ref="C32:C35"/>
    <mergeCell ref="D32:D35"/>
    <mergeCell ref="E32:E35"/>
    <mergeCell ref="F32:F35"/>
    <mergeCell ref="G32:G35"/>
    <mergeCell ref="H32:H35"/>
    <mergeCell ref="A27:A31"/>
    <mergeCell ref="B27:B31"/>
    <mergeCell ref="C27:C30"/>
    <mergeCell ref="D27:D30"/>
    <mergeCell ref="E27:E30"/>
    <mergeCell ref="F27:F30"/>
    <mergeCell ref="G19:G21"/>
    <mergeCell ref="H19:H21"/>
    <mergeCell ref="A23:A26"/>
    <mergeCell ref="B23:B26"/>
    <mergeCell ref="C23:C25"/>
    <mergeCell ref="D23:D25"/>
    <mergeCell ref="E23:E25"/>
    <mergeCell ref="F23:F25"/>
    <mergeCell ref="G23:G25"/>
    <mergeCell ref="H23:H25"/>
    <mergeCell ref="A19:A22"/>
    <mergeCell ref="B19:B22"/>
    <mergeCell ref="C19:C21"/>
    <mergeCell ref="D19:D21"/>
    <mergeCell ref="E19:E21"/>
    <mergeCell ref="F19:F21"/>
    <mergeCell ref="A13:A15"/>
    <mergeCell ref="B13:B15"/>
    <mergeCell ref="C13:C14"/>
    <mergeCell ref="D13:D14"/>
    <mergeCell ref="E13:E14"/>
    <mergeCell ref="F13:F14"/>
    <mergeCell ref="G13:G14"/>
    <mergeCell ref="H13:H14"/>
    <mergeCell ref="A16:A18"/>
    <mergeCell ref="B16:B18"/>
    <mergeCell ref="C16:C17"/>
    <mergeCell ref="D16:D17"/>
    <mergeCell ref="E16:E17"/>
    <mergeCell ref="F16:F17"/>
    <mergeCell ref="G16:G17"/>
    <mergeCell ref="H16:H17"/>
    <mergeCell ref="A5:A8"/>
    <mergeCell ref="B5:B8"/>
    <mergeCell ref="C5:H7"/>
    <mergeCell ref="I5:I8"/>
    <mergeCell ref="J5:K7"/>
    <mergeCell ref="L5:Q6"/>
    <mergeCell ref="F10:F11"/>
    <mergeCell ref="G10:G11"/>
    <mergeCell ref="H10:H11"/>
    <mergeCell ref="A1:N1"/>
    <mergeCell ref="B2:P2"/>
    <mergeCell ref="B3:P3"/>
    <mergeCell ref="Q3:X3"/>
    <mergeCell ref="B4:P4"/>
    <mergeCell ref="Q4:X4"/>
    <mergeCell ref="A68:A71"/>
    <mergeCell ref="B68:B71"/>
    <mergeCell ref="C68:C70"/>
    <mergeCell ref="D68:D70"/>
    <mergeCell ref="E68:E70"/>
    <mergeCell ref="F68:F70"/>
    <mergeCell ref="G68:G70"/>
    <mergeCell ref="H68:H70"/>
    <mergeCell ref="R5:T7"/>
    <mergeCell ref="U5:X7"/>
    <mergeCell ref="M7:N7"/>
    <mergeCell ref="O7:P7"/>
    <mergeCell ref="Q7:Q8"/>
    <mergeCell ref="A10:A12"/>
    <mergeCell ref="B10:B12"/>
    <mergeCell ref="C10:C11"/>
    <mergeCell ref="D10:D11"/>
    <mergeCell ref="E10:E11"/>
    <mergeCell ref="A72:A75"/>
    <mergeCell ref="B72:B75"/>
    <mergeCell ref="C72:C74"/>
    <mergeCell ref="D72:D74"/>
    <mergeCell ref="E72:E74"/>
    <mergeCell ref="F72:F74"/>
    <mergeCell ref="G72:G74"/>
    <mergeCell ref="H72:H74"/>
    <mergeCell ref="A76:E7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opLeftCell="A4" zoomScale="73" zoomScaleNormal="73" workbookViewId="0">
      <pane xSplit="6" ySplit="3" topLeftCell="I7" activePane="bottomRight" state="frozen"/>
      <selection activeCell="A4" sqref="A4"/>
      <selection pane="topRight" activeCell="G4" sqref="G4"/>
      <selection pane="bottomLeft" activeCell="A7" sqref="A7"/>
      <selection pane="bottomRight" activeCell="J42" sqref="J42"/>
    </sheetView>
  </sheetViews>
  <sheetFormatPr defaultColWidth="12.109375" defaultRowHeight="13.2" x14ac:dyDescent="0.25"/>
  <cols>
    <col min="1" max="1" width="23.44140625" style="342" customWidth="1"/>
    <col min="2" max="2" width="7.44140625" style="342" customWidth="1"/>
    <col min="3" max="3" width="12.109375" style="342"/>
    <col min="4" max="4" width="8" style="342" bestFit="1" customWidth="1"/>
    <col min="5" max="5" width="14.6640625" style="342" bestFit="1" customWidth="1"/>
    <col min="6" max="6" width="7.5546875" style="342" customWidth="1"/>
    <col min="7" max="7" width="7.44140625" style="342" bestFit="1" customWidth="1"/>
    <col min="8" max="10" width="12.109375" style="342"/>
    <col min="11" max="11" width="11.33203125" style="342" customWidth="1"/>
    <col min="12" max="12" width="11.44140625" style="342" customWidth="1"/>
    <col min="13" max="13" width="11" style="342" customWidth="1"/>
    <col min="14" max="14" width="8.44140625" style="342" customWidth="1"/>
    <col min="15" max="15" width="12.33203125" style="342" customWidth="1"/>
    <col min="16" max="17" width="11.109375" style="342" customWidth="1"/>
    <col min="18" max="18" width="12" style="342" customWidth="1"/>
    <col min="19" max="19" width="12.33203125" style="342" customWidth="1"/>
    <col min="20" max="20" width="11.33203125" style="342" customWidth="1"/>
    <col min="21" max="21" width="12" style="342" customWidth="1"/>
    <col min="22" max="22" width="8.33203125" style="342" bestFit="1" customWidth="1"/>
    <col min="23" max="25" width="12.109375" style="342"/>
    <col min="26" max="26" width="13.44140625" style="342" bestFit="1" customWidth="1"/>
    <col min="27" max="28" width="12" style="342" customWidth="1"/>
    <col min="29" max="29" width="9.6640625" style="342" customWidth="1"/>
    <col min="30" max="30" width="12.109375" style="342"/>
    <col min="31" max="31" width="11.109375" style="342" customWidth="1"/>
    <col min="32" max="32" width="11.33203125" style="342" bestFit="1" customWidth="1"/>
    <col min="33" max="33" width="21.33203125" style="342" bestFit="1" customWidth="1"/>
    <col min="34" max="16384" width="12.109375" style="342"/>
  </cols>
  <sheetData>
    <row r="1" spans="1:34" s="171" customFormat="1" x14ac:dyDescent="0.3">
      <c r="A1" s="830" t="s">
        <v>531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4"/>
    </row>
    <row r="2" spans="1:34" s="335" customFormat="1" x14ac:dyDescent="0.3">
      <c r="A2" s="172" t="s">
        <v>490</v>
      </c>
      <c r="B2" s="821" t="s">
        <v>491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173"/>
      <c r="R2" s="173"/>
      <c r="S2" s="179" t="s">
        <v>69</v>
      </c>
      <c r="T2" s="173"/>
      <c r="U2" s="173"/>
      <c r="V2" s="173"/>
      <c r="W2" s="173"/>
      <c r="X2" s="173"/>
      <c r="Y2" s="173"/>
      <c r="Z2" s="172"/>
      <c r="AA2" s="172"/>
      <c r="AB2" s="172"/>
      <c r="AC2" s="172"/>
      <c r="AD2" s="172"/>
      <c r="AE2" s="172"/>
      <c r="AF2" s="172"/>
      <c r="AG2" s="172"/>
    </row>
    <row r="3" spans="1:34" s="335" customFormat="1" x14ac:dyDescent="0.3">
      <c r="A3" s="172" t="s">
        <v>492</v>
      </c>
      <c r="B3" s="821" t="s">
        <v>452</v>
      </c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172"/>
      <c r="AA3" s="172"/>
      <c r="AB3" s="172"/>
      <c r="AC3" s="172"/>
      <c r="AD3" s="172"/>
      <c r="AE3" s="172"/>
      <c r="AF3" s="172"/>
      <c r="AG3" s="172"/>
    </row>
    <row r="4" spans="1:34" s="335" customFormat="1" ht="13.8" thickBot="1" x14ac:dyDescent="0.35">
      <c r="A4" s="180" t="s">
        <v>6</v>
      </c>
      <c r="B4" s="821" t="s">
        <v>454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172"/>
      <c r="AA4" s="172"/>
      <c r="AB4" s="172"/>
      <c r="AC4" s="172"/>
      <c r="AD4" s="172"/>
      <c r="AE4" s="172"/>
      <c r="AF4" s="172"/>
      <c r="AG4" s="172"/>
      <c r="AH4" s="172"/>
    </row>
    <row r="5" spans="1:34" s="171" customFormat="1" ht="89.25" customHeight="1" thickBot="1" x14ac:dyDescent="0.35">
      <c r="A5" s="336" t="s">
        <v>8</v>
      </c>
      <c r="B5" s="337" t="s">
        <v>436</v>
      </c>
      <c r="C5" s="337" t="s">
        <v>532</v>
      </c>
      <c r="D5" s="337" t="s">
        <v>533</v>
      </c>
      <c r="E5" s="337" t="s">
        <v>534</v>
      </c>
      <c r="F5" s="337" t="s">
        <v>434</v>
      </c>
      <c r="G5" s="337" t="s">
        <v>13</v>
      </c>
      <c r="H5" s="337" t="s">
        <v>535</v>
      </c>
      <c r="I5" s="337" t="s">
        <v>25</v>
      </c>
      <c r="J5" s="337" t="s">
        <v>536</v>
      </c>
      <c r="K5" s="337" t="s">
        <v>431</v>
      </c>
      <c r="L5" s="337" t="s">
        <v>430</v>
      </c>
      <c r="M5" s="337" t="s">
        <v>25</v>
      </c>
      <c r="N5" s="337" t="s">
        <v>537</v>
      </c>
      <c r="O5" s="337" t="s">
        <v>538</v>
      </c>
      <c r="P5" s="337" t="s">
        <v>539</v>
      </c>
      <c r="Q5" s="337" t="s">
        <v>540</v>
      </c>
      <c r="R5" s="337" t="s">
        <v>541</v>
      </c>
      <c r="S5" s="337" t="s">
        <v>425</v>
      </c>
      <c r="T5" s="337" t="s">
        <v>542</v>
      </c>
      <c r="U5" s="406" t="s">
        <v>761</v>
      </c>
      <c r="V5" s="406" t="s">
        <v>754</v>
      </c>
      <c r="W5" s="337" t="s">
        <v>544</v>
      </c>
      <c r="X5" s="337" t="s">
        <v>760</v>
      </c>
      <c r="Y5" s="337" t="s">
        <v>545</v>
      </c>
      <c r="Z5" s="337" t="s">
        <v>494</v>
      </c>
      <c r="AA5" s="337" t="s">
        <v>419</v>
      </c>
      <c r="AB5" s="337" t="s">
        <v>546</v>
      </c>
      <c r="AC5" s="337"/>
      <c r="AD5" s="337" t="s">
        <v>547</v>
      </c>
      <c r="AE5" s="337" t="s">
        <v>548</v>
      </c>
      <c r="AF5" s="337" t="s">
        <v>549</v>
      </c>
      <c r="AG5" s="338" t="s">
        <v>81</v>
      </c>
    </row>
    <row r="6" spans="1:34" s="171" customFormat="1" ht="13.8" thickTop="1" x14ac:dyDescent="0.25">
      <c r="A6" s="397" t="s">
        <v>35</v>
      </c>
      <c r="B6" s="398"/>
      <c r="C6" s="398"/>
      <c r="D6" s="398"/>
      <c r="E6" s="398"/>
      <c r="F6" s="398"/>
      <c r="G6" s="398"/>
      <c r="H6" s="399" t="s">
        <v>414</v>
      </c>
      <c r="I6" s="400" t="s">
        <v>409</v>
      </c>
      <c r="J6" s="401" t="s">
        <v>84</v>
      </c>
      <c r="K6" s="399" t="s">
        <v>410</v>
      </c>
      <c r="L6" s="400"/>
      <c r="M6" s="402" t="s">
        <v>409</v>
      </c>
      <c r="N6" s="402"/>
      <c r="O6" s="403" t="s">
        <v>413</v>
      </c>
      <c r="P6" s="403" t="s">
        <v>87</v>
      </c>
      <c r="Q6" s="403" t="s">
        <v>412</v>
      </c>
      <c r="R6" s="403" t="s">
        <v>411</v>
      </c>
      <c r="S6" s="403" t="s">
        <v>410</v>
      </c>
      <c r="T6" s="400" t="s">
        <v>409</v>
      </c>
      <c r="U6" s="400"/>
      <c r="V6" s="400"/>
      <c r="W6" s="402" t="s">
        <v>410</v>
      </c>
      <c r="X6" s="402" t="s">
        <v>409</v>
      </c>
      <c r="Y6" s="403" t="s">
        <v>409</v>
      </c>
      <c r="Z6" s="404"/>
      <c r="AA6" s="402" t="s">
        <v>89</v>
      </c>
      <c r="AB6" s="403" t="s">
        <v>408</v>
      </c>
      <c r="AC6" s="398"/>
      <c r="AD6" s="398"/>
      <c r="AE6" s="398"/>
      <c r="AF6" s="398"/>
      <c r="AG6" s="405"/>
    </row>
    <row r="7" spans="1:34" s="171" customFormat="1" ht="18" customHeight="1" x14ac:dyDescent="0.3">
      <c r="A7" s="832" t="s">
        <v>550</v>
      </c>
      <c r="B7" s="833" t="s">
        <v>551</v>
      </c>
      <c r="C7" s="836" t="s">
        <v>552</v>
      </c>
      <c r="D7" s="833" t="s">
        <v>553</v>
      </c>
      <c r="E7" s="839">
        <f>(1700000+1400000)/S2</f>
        <v>178675.38141430207</v>
      </c>
      <c r="F7" s="833" t="s">
        <v>94</v>
      </c>
      <c r="G7" s="329" t="s">
        <v>43</v>
      </c>
      <c r="H7" s="187">
        <v>39569</v>
      </c>
      <c r="I7" s="187">
        <f>H7+10</f>
        <v>39579</v>
      </c>
      <c r="J7" s="187">
        <f>I7+7</f>
        <v>39586</v>
      </c>
      <c r="K7" s="187">
        <f>J7+5</f>
        <v>39591</v>
      </c>
      <c r="L7" s="187">
        <f>K7+15</f>
        <v>39606</v>
      </c>
      <c r="M7" s="187">
        <f>L7+10</f>
        <v>39616</v>
      </c>
      <c r="N7" s="329" t="s">
        <v>43</v>
      </c>
      <c r="O7" s="187">
        <f>M7+7</f>
        <v>39623</v>
      </c>
      <c r="P7" s="187">
        <f>O7+15</f>
        <v>39638</v>
      </c>
      <c r="Q7" s="187">
        <f>P7+10</f>
        <v>39648</v>
      </c>
      <c r="R7" s="187">
        <f>Q7+7</f>
        <v>39655</v>
      </c>
      <c r="S7" s="187">
        <f>R7+5</f>
        <v>39660</v>
      </c>
      <c r="T7" s="187">
        <f>S7+3</f>
        <v>39663</v>
      </c>
      <c r="U7" s="187"/>
      <c r="V7" s="329" t="s">
        <v>43</v>
      </c>
      <c r="W7" s="187">
        <f>T7+7</f>
        <v>39670</v>
      </c>
      <c r="X7" s="187">
        <f>W7+7</f>
        <v>39677</v>
      </c>
      <c r="Y7" s="187">
        <f>X7+7</f>
        <v>39684</v>
      </c>
      <c r="Z7" s="175"/>
      <c r="AA7" s="187">
        <v>39707</v>
      </c>
      <c r="AB7" s="187">
        <f>AA7+5</f>
        <v>39712</v>
      </c>
      <c r="AC7" s="329" t="s">
        <v>43</v>
      </c>
      <c r="AD7" s="187">
        <f>23/3/2010+AF7</f>
        <v>40380.003814262025</v>
      </c>
      <c r="AE7" s="187">
        <v>40350</v>
      </c>
      <c r="AF7" s="187">
        <v>40380</v>
      </c>
      <c r="AG7" s="186"/>
    </row>
    <row r="8" spans="1:34" s="171" customFormat="1" ht="18" customHeight="1" x14ac:dyDescent="0.3">
      <c r="A8" s="832"/>
      <c r="B8" s="834"/>
      <c r="C8" s="837"/>
      <c r="D8" s="834"/>
      <c r="E8" s="840"/>
      <c r="F8" s="834"/>
      <c r="G8" s="329" t="s">
        <v>44</v>
      </c>
      <c r="H8" s="187">
        <v>39519</v>
      </c>
      <c r="I8" s="187">
        <v>39541</v>
      </c>
      <c r="J8" s="187">
        <v>39551</v>
      </c>
      <c r="K8" s="187">
        <v>39556</v>
      </c>
      <c r="L8" s="187">
        <v>39567</v>
      </c>
      <c r="M8" s="187" t="s">
        <v>744</v>
      </c>
      <c r="N8" s="329" t="s">
        <v>44</v>
      </c>
      <c r="O8" s="187">
        <v>39569</v>
      </c>
      <c r="P8" s="187">
        <v>39583</v>
      </c>
      <c r="Q8" s="187">
        <v>39603</v>
      </c>
      <c r="R8" s="187">
        <v>39631</v>
      </c>
      <c r="S8" s="187">
        <v>39635</v>
      </c>
      <c r="T8" s="187">
        <v>39644</v>
      </c>
      <c r="U8" s="339"/>
      <c r="V8" s="329" t="s">
        <v>44</v>
      </c>
      <c r="W8" s="187">
        <v>39647</v>
      </c>
      <c r="X8" s="187">
        <v>39657</v>
      </c>
      <c r="Y8" s="187">
        <v>39664</v>
      </c>
      <c r="Z8" s="175">
        <f>3463915/S2</f>
        <v>199650.43026184588</v>
      </c>
      <c r="AA8" s="187">
        <f>AB8-10</f>
        <v>39664</v>
      </c>
      <c r="AB8" s="187">
        <v>39674</v>
      </c>
      <c r="AC8" s="329" t="s">
        <v>44</v>
      </c>
      <c r="AD8" s="187">
        <f>AB8+10</f>
        <v>39684</v>
      </c>
      <c r="AE8" s="327"/>
      <c r="AF8" s="187" t="s">
        <v>739</v>
      </c>
      <c r="AG8" s="176"/>
    </row>
    <row r="9" spans="1:34" s="171" customFormat="1" ht="14.25" customHeight="1" x14ac:dyDescent="0.3">
      <c r="A9" s="832"/>
      <c r="B9" s="835"/>
      <c r="C9" s="838"/>
      <c r="D9" s="835"/>
      <c r="E9" s="841"/>
      <c r="F9" s="835"/>
      <c r="G9" s="343"/>
      <c r="H9" s="344"/>
      <c r="I9" s="344"/>
      <c r="J9" s="344"/>
      <c r="K9" s="344"/>
      <c r="L9" s="344"/>
      <c r="M9" s="344"/>
      <c r="N9" s="343"/>
      <c r="O9" s="344"/>
      <c r="P9" s="344"/>
      <c r="Q9" s="344"/>
      <c r="R9" s="344"/>
      <c r="S9" s="344"/>
      <c r="T9" s="344"/>
      <c r="U9" s="344"/>
      <c r="V9" s="343"/>
      <c r="W9" s="344"/>
      <c r="X9" s="344"/>
      <c r="Y9" s="344"/>
      <c r="Z9" s="345"/>
      <c r="AA9" s="344"/>
      <c r="AB9" s="344"/>
      <c r="AC9" s="343"/>
      <c r="AD9" s="346"/>
      <c r="AE9" s="346"/>
      <c r="AF9" s="346"/>
      <c r="AG9" s="347"/>
    </row>
    <row r="10" spans="1:34" s="171" customFormat="1" ht="18" customHeight="1" x14ac:dyDescent="0.3">
      <c r="A10" s="832" t="s">
        <v>554</v>
      </c>
      <c r="B10" s="833" t="s">
        <v>551</v>
      </c>
      <c r="C10" s="836" t="s">
        <v>552</v>
      </c>
      <c r="D10" s="836" t="s">
        <v>555</v>
      </c>
      <c r="E10" s="839">
        <f>720956/S2</f>
        <v>41553.899446106312</v>
      </c>
      <c r="F10" s="836" t="s">
        <v>94</v>
      </c>
      <c r="G10" s="329" t="s">
        <v>43</v>
      </c>
      <c r="H10" s="187">
        <v>39569</v>
      </c>
      <c r="I10" s="187">
        <f>H10+10</f>
        <v>39579</v>
      </c>
      <c r="J10" s="187">
        <f>I10+5</f>
        <v>39584</v>
      </c>
      <c r="K10" s="187">
        <f>J10+21</f>
        <v>39605</v>
      </c>
      <c r="L10" s="187">
        <f>K10+15</f>
        <v>39620</v>
      </c>
      <c r="M10" s="187">
        <f>L10+10</f>
        <v>39630</v>
      </c>
      <c r="N10" s="329" t="s">
        <v>43</v>
      </c>
      <c r="O10" s="340">
        <f>M10+7</f>
        <v>39637</v>
      </c>
      <c r="P10" s="340">
        <f>O10+28</f>
        <v>39665</v>
      </c>
      <c r="Q10" s="340">
        <f>P10+10</f>
        <v>39675</v>
      </c>
      <c r="R10" s="340">
        <f>Q10+7</f>
        <v>39682</v>
      </c>
      <c r="S10" s="340">
        <f>R10+7</f>
        <v>39689</v>
      </c>
      <c r="T10" s="340">
        <f>S10+10</f>
        <v>39699</v>
      </c>
      <c r="U10" s="340"/>
      <c r="V10" s="329" t="s">
        <v>43</v>
      </c>
      <c r="W10" s="340">
        <f>T10+10</f>
        <v>39709</v>
      </c>
      <c r="X10" s="340">
        <f>W10+5</f>
        <v>39714</v>
      </c>
      <c r="Y10" s="340">
        <f>X10+5</f>
        <v>39719</v>
      </c>
      <c r="Z10" s="175"/>
      <c r="AA10" s="340">
        <v>39707</v>
      </c>
      <c r="AB10" s="340">
        <f>13/3/2010+5</f>
        <v>5.0021558872305141</v>
      </c>
      <c r="AC10" s="329" t="s">
        <v>43</v>
      </c>
      <c r="AD10" s="187">
        <f>23/3/2010+20</f>
        <v>20.003814262023216</v>
      </c>
      <c r="AE10" s="187">
        <f>AD10+330</f>
        <v>350.00381426202324</v>
      </c>
      <c r="AF10" s="187">
        <f>AE10+30</f>
        <v>380.00381426202324</v>
      </c>
      <c r="AG10" s="186"/>
    </row>
    <row r="11" spans="1:34" s="171" customFormat="1" ht="18" customHeight="1" x14ac:dyDescent="0.3">
      <c r="A11" s="832"/>
      <c r="B11" s="834"/>
      <c r="C11" s="837"/>
      <c r="D11" s="837"/>
      <c r="E11" s="840"/>
      <c r="F11" s="837"/>
      <c r="G11" s="329" t="s">
        <v>44</v>
      </c>
      <c r="H11" s="187">
        <v>39519</v>
      </c>
      <c r="I11" s="187">
        <v>39541</v>
      </c>
      <c r="J11" s="187">
        <v>39551</v>
      </c>
      <c r="K11" s="187">
        <v>39556</v>
      </c>
      <c r="L11" s="187">
        <v>39567</v>
      </c>
      <c r="M11" s="187" t="s">
        <v>744</v>
      </c>
      <c r="N11" s="329" t="s">
        <v>44</v>
      </c>
      <c r="O11" s="187">
        <v>39569</v>
      </c>
      <c r="P11" s="187">
        <v>39583</v>
      </c>
      <c r="Q11" s="187">
        <v>39603</v>
      </c>
      <c r="R11" s="187">
        <v>39631</v>
      </c>
      <c r="S11" s="187">
        <v>39635</v>
      </c>
      <c r="T11" s="187">
        <v>39644</v>
      </c>
      <c r="U11" s="187"/>
      <c r="V11" s="329" t="s">
        <v>44</v>
      </c>
      <c r="W11" s="187">
        <v>39647</v>
      </c>
      <c r="X11" s="187">
        <v>39657</v>
      </c>
      <c r="Y11" s="187">
        <v>39664</v>
      </c>
      <c r="Z11" s="175">
        <f>E10</f>
        <v>41553.899446106312</v>
      </c>
      <c r="AA11" s="187"/>
      <c r="AB11" s="187">
        <v>41090</v>
      </c>
      <c r="AC11" s="329" t="s">
        <v>44</v>
      </c>
      <c r="AD11" s="188">
        <f>AB11+10</f>
        <v>41100</v>
      </c>
      <c r="AE11" s="328"/>
      <c r="AF11" s="328"/>
      <c r="AG11" s="176"/>
    </row>
    <row r="12" spans="1:34" s="171" customFormat="1" ht="14.25" customHeight="1" x14ac:dyDescent="0.3">
      <c r="A12" s="832"/>
      <c r="B12" s="835"/>
      <c r="C12" s="838"/>
      <c r="D12" s="838"/>
      <c r="E12" s="841"/>
      <c r="F12" s="838"/>
      <c r="G12" s="343"/>
      <c r="H12" s="344"/>
      <c r="I12" s="344"/>
      <c r="J12" s="344"/>
      <c r="K12" s="344"/>
      <c r="L12" s="344"/>
      <c r="M12" s="344"/>
      <c r="N12" s="343"/>
      <c r="O12" s="344"/>
      <c r="P12" s="344"/>
      <c r="Q12" s="344"/>
      <c r="R12" s="344"/>
      <c r="S12" s="344"/>
      <c r="T12" s="344"/>
      <c r="U12" s="344"/>
      <c r="V12" s="343"/>
      <c r="W12" s="344"/>
      <c r="X12" s="344"/>
      <c r="Y12" s="344"/>
      <c r="Z12" s="345"/>
      <c r="AA12" s="344"/>
      <c r="AB12" s="344"/>
      <c r="AC12" s="343"/>
      <c r="AD12" s="346"/>
      <c r="AE12" s="346"/>
      <c r="AF12" s="346"/>
      <c r="AG12" s="347"/>
    </row>
    <row r="13" spans="1:34" s="171" customFormat="1" ht="18" customHeight="1" x14ac:dyDescent="0.3">
      <c r="A13" s="832" t="s">
        <v>755</v>
      </c>
      <c r="B13" s="833" t="s">
        <v>551</v>
      </c>
      <c r="C13" s="836" t="s">
        <v>556</v>
      </c>
      <c r="D13" s="836" t="s">
        <v>555</v>
      </c>
      <c r="E13" s="839">
        <f>(1400000+720956+720956)/S2</f>
        <v>163799.90662770389</v>
      </c>
      <c r="F13" s="836" t="s">
        <v>94</v>
      </c>
      <c r="G13" s="329" t="s">
        <v>43</v>
      </c>
      <c r="H13" s="340">
        <v>40411</v>
      </c>
      <c r="I13" s="187">
        <f>H13+10</f>
        <v>40421</v>
      </c>
      <c r="J13" s="187">
        <f>I13+5</f>
        <v>40426</v>
      </c>
      <c r="K13" s="187">
        <f>J13+21</f>
        <v>40447</v>
      </c>
      <c r="L13" s="187">
        <f>K13+15</f>
        <v>40462</v>
      </c>
      <c r="M13" s="187">
        <f>L13+10</f>
        <v>40472</v>
      </c>
      <c r="N13" s="329" t="s">
        <v>43</v>
      </c>
      <c r="O13" s="340">
        <f>M13+7</f>
        <v>40479</v>
      </c>
      <c r="P13" s="187">
        <f>O13+28</f>
        <v>40507</v>
      </c>
      <c r="Q13" s="187">
        <f>P13+10</f>
        <v>40517</v>
      </c>
      <c r="R13" s="187">
        <f>Q13+7</f>
        <v>40524</v>
      </c>
      <c r="S13" s="187">
        <f>R13+7</f>
        <v>40531</v>
      </c>
      <c r="T13" s="187">
        <f>S13+10</f>
        <v>40541</v>
      </c>
      <c r="U13" s="187"/>
      <c r="V13" s="329" t="s">
        <v>43</v>
      </c>
      <c r="W13" s="187">
        <f>T13+10</f>
        <v>40551</v>
      </c>
      <c r="X13" s="187">
        <f>W13+5</f>
        <v>40556</v>
      </c>
      <c r="Y13" s="187">
        <f>X13+5</f>
        <v>40561</v>
      </c>
      <c r="Z13" s="175"/>
      <c r="AA13" s="187">
        <f>Y13+7</f>
        <v>40568</v>
      </c>
      <c r="AB13" s="187">
        <f>AA13+5</f>
        <v>40573</v>
      </c>
      <c r="AC13" s="329" t="s">
        <v>43</v>
      </c>
      <c r="AD13" s="187">
        <f>AB13+10</f>
        <v>40583</v>
      </c>
      <c r="AE13" s="187">
        <f>AD13+240</f>
        <v>40823</v>
      </c>
      <c r="AF13" s="187">
        <f>AE13+30</f>
        <v>40853</v>
      </c>
      <c r="AG13" s="186"/>
    </row>
    <row r="14" spans="1:34" s="171" customFormat="1" ht="18" customHeight="1" x14ac:dyDescent="0.3">
      <c r="A14" s="832"/>
      <c r="B14" s="834"/>
      <c r="C14" s="837"/>
      <c r="D14" s="837"/>
      <c r="E14" s="840"/>
      <c r="F14" s="837"/>
      <c r="G14" s="329" t="s">
        <v>44</v>
      </c>
      <c r="H14" s="326" t="s">
        <v>771</v>
      </c>
      <c r="I14" s="326" t="s">
        <v>770</v>
      </c>
      <c r="J14" s="326" t="s">
        <v>744</v>
      </c>
      <c r="K14" s="326" t="s">
        <v>769</v>
      </c>
      <c r="L14" s="326" t="s">
        <v>768</v>
      </c>
      <c r="M14" s="187" t="s">
        <v>744</v>
      </c>
      <c r="N14" s="329" t="s">
        <v>44</v>
      </c>
      <c r="O14" s="340">
        <v>40838</v>
      </c>
      <c r="P14" s="340">
        <v>40892</v>
      </c>
      <c r="Q14" s="187">
        <v>41009</v>
      </c>
      <c r="R14" s="187">
        <v>40998</v>
      </c>
      <c r="S14" s="187">
        <v>41007</v>
      </c>
      <c r="T14" s="187">
        <v>41008</v>
      </c>
      <c r="U14" s="187"/>
      <c r="V14" s="329" t="s">
        <v>44</v>
      </c>
      <c r="W14" s="326" t="s">
        <v>765</v>
      </c>
      <c r="X14" s="326" t="s">
        <v>766</v>
      </c>
      <c r="Y14" s="326" t="s">
        <v>767</v>
      </c>
      <c r="Z14" s="175">
        <f>3285550/S2</f>
        <v>189369.96755024523</v>
      </c>
      <c r="AA14" s="187">
        <f>AB14-10</f>
        <v>41080</v>
      </c>
      <c r="AB14" s="326" t="s">
        <v>738</v>
      </c>
      <c r="AC14" s="329" t="s">
        <v>44</v>
      </c>
      <c r="AD14" s="187">
        <f>AB14+10</f>
        <v>41100</v>
      </c>
      <c r="AE14" s="187">
        <f>AF14-30</f>
        <v>41333</v>
      </c>
      <c r="AF14" s="326" t="s">
        <v>739</v>
      </c>
      <c r="AG14" s="176"/>
    </row>
    <row r="15" spans="1:34" s="171" customFormat="1" ht="14.25" customHeight="1" x14ac:dyDescent="0.3">
      <c r="A15" s="832"/>
      <c r="B15" s="835"/>
      <c r="C15" s="838"/>
      <c r="D15" s="838"/>
      <c r="E15" s="841"/>
      <c r="F15" s="838"/>
      <c r="G15" s="343"/>
      <c r="H15" s="344"/>
      <c r="I15" s="344"/>
      <c r="J15" s="344"/>
      <c r="K15" s="344"/>
      <c r="L15" s="344"/>
      <c r="M15" s="344"/>
      <c r="N15" s="343"/>
      <c r="O15" s="344"/>
      <c r="P15" s="344"/>
      <c r="Q15" s="344"/>
      <c r="R15" s="344"/>
      <c r="S15" s="344"/>
      <c r="T15" s="344"/>
      <c r="U15" s="344"/>
      <c r="V15" s="343"/>
      <c r="W15" s="344"/>
      <c r="X15" s="344"/>
      <c r="Y15" s="344"/>
      <c r="Z15" s="345"/>
      <c r="AA15" s="344"/>
      <c r="AB15" s="344"/>
      <c r="AC15" s="343"/>
      <c r="AD15" s="346"/>
      <c r="AE15" s="346"/>
      <c r="AF15" s="346"/>
      <c r="AG15" s="347"/>
    </row>
    <row r="16" spans="1:34" s="171" customFormat="1" ht="18" customHeight="1" x14ac:dyDescent="0.3">
      <c r="A16" s="827" t="s">
        <v>715</v>
      </c>
      <c r="B16" s="850" t="s">
        <v>551</v>
      </c>
      <c r="C16" s="851" t="s">
        <v>716</v>
      </c>
      <c r="D16" s="850" t="s">
        <v>555</v>
      </c>
      <c r="E16" s="849">
        <v>8645.59</v>
      </c>
      <c r="F16" s="842" t="s">
        <v>94</v>
      </c>
      <c r="G16" s="329" t="s">
        <v>43</v>
      </c>
      <c r="H16" s="340">
        <v>40854</v>
      </c>
      <c r="I16" s="187">
        <v>40864</v>
      </c>
      <c r="J16" s="187">
        <v>40901</v>
      </c>
      <c r="K16" s="187">
        <v>40920</v>
      </c>
      <c r="L16" s="187">
        <v>40936</v>
      </c>
      <c r="M16" s="187">
        <v>40950</v>
      </c>
      <c r="N16" s="329" t="s">
        <v>43</v>
      </c>
      <c r="O16" s="340">
        <v>40957</v>
      </c>
      <c r="P16" s="187">
        <f>O16+28</f>
        <v>40985</v>
      </c>
      <c r="Q16" s="187">
        <f>P16+10</f>
        <v>40995</v>
      </c>
      <c r="R16" s="187">
        <f>Q16+7</f>
        <v>41002</v>
      </c>
      <c r="S16" s="187">
        <f>R16+7</f>
        <v>41009</v>
      </c>
      <c r="T16" s="187">
        <f>S16+10</f>
        <v>41019</v>
      </c>
      <c r="U16" s="187"/>
      <c r="V16" s="329" t="s">
        <v>43</v>
      </c>
      <c r="W16" s="187">
        <f>T16+10</f>
        <v>41029</v>
      </c>
      <c r="X16" s="187">
        <f>W16+5</f>
        <v>41034</v>
      </c>
      <c r="Y16" s="187">
        <f>X16+5</f>
        <v>41039</v>
      </c>
      <c r="Z16" s="175"/>
      <c r="AA16" s="187">
        <f>Y16+7</f>
        <v>41046</v>
      </c>
      <c r="AB16" s="187">
        <f>AA16+5</f>
        <v>41051</v>
      </c>
      <c r="AC16" s="329" t="s">
        <v>43</v>
      </c>
      <c r="AD16" s="187"/>
      <c r="AE16" s="187"/>
      <c r="AF16" s="187"/>
      <c r="AG16" s="186"/>
    </row>
    <row r="17" spans="1:33" s="171" customFormat="1" ht="18" customHeight="1" x14ac:dyDescent="0.3">
      <c r="A17" s="828"/>
      <c r="B17" s="850"/>
      <c r="C17" s="851"/>
      <c r="D17" s="850"/>
      <c r="E17" s="849"/>
      <c r="F17" s="843"/>
      <c r="G17" s="329" t="s">
        <v>50</v>
      </c>
      <c r="H17" s="340"/>
      <c r="I17" s="187"/>
      <c r="J17" s="187"/>
      <c r="K17" s="187"/>
      <c r="L17" s="187"/>
      <c r="M17" s="187"/>
      <c r="N17" s="329"/>
      <c r="O17" s="340">
        <v>41070</v>
      </c>
      <c r="P17" s="187">
        <f>O17+30</f>
        <v>41100</v>
      </c>
      <c r="Q17" s="187">
        <f>P17+15</f>
        <v>41115</v>
      </c>
      <c r="R17" s="187">
        <f>Q17+7</f>
        <v>41122</v>
      </c>
      <c r="S17" s="187">
        <f>Q17+15</f>
        <v>41130</v>
      </c>
      <c r="T17" s="187">
        <f>S17+15</f>
        <v>41145</v>
      </c>
      <c r="U17" s="187"/>
      <c r="V17" s="329" t="s">
        <v>50</v>
      </c>
      <c r="W17" s="187">
        <f>T17+15</f>
        <v>41160</v>
      </c>
      <c r="X17" s="187">
        <f>W17+15</f>
        <v>41175</v>
      </c>
      <c r="Y17" s="187"/>
      <c r="Z17" s="175"/>
      <c r="AA17" s="187">
        <f>X17+7</f>
        <v>41182</v>
      </c>
      <c r="AB17" s="187">
        <f>AA17+20</f>
        <v>41202</v>
      </c>
      <c r="AC17" s="329"/>
      <c r="AD17" s="187">
        <f>AB17+21</f>
        <v>41223</v>
      </c>
      <c r="AE17" s="187">
        <f>AD17+90</f>
        <v>41313</v>
      </c>
      <c r="AF17" s="187">
        <f>AE17+30</f>
        <v>41343</v>
      </c>
      <c r="AG17" s="186"/>
    </row>
    <row r="18" spans="1:33" s="171" customFormat="1" ht="18" customHeight="1" x14ac:dyDescent="0.3">
      <c r="A18" s="828"/>
      <c r="B18" s="850"/>
      <c r="C18" s="851"/>
      <c r="D18" s="850"/>
      <c r="E18" s="849"/>
      <c r="F18" s="843"/>
      <c r="G18" s="329" t="s">
        <v>44</v>
      </c>
      <c r="H18" s="340">
        <v>40885</v>
      </c>
      <c r="I18" s="187">
        <v>40895</v>
      </c>
      <c r="J18" s="326" t="s">
        <v>744</v>
      </c>
      <c r="K18" s="187">
        <v>40923</v>
      </c>
      <c r="L18" s="187">
        <v>40940</v>
      </c>
      <c r="M18" s="187" t="s">
        <v>744</v>
      </c>
      <c r="N18" s="329" t="s">
        <v>44</v>
      </c>
      <c r="O18" s="340">
        <v>40960</v>
      </c>
      <c r="P18" s="340">
        <v>40989</v>
      </c>
      <c r="Q18" s="187">
        <v>40998</v>
      </c>
      <c r="R18" s="187">
        <v>41031</v>
      </c>
      <c r="S18" s="187">
        <v>41034</v>
      </c>
      <c r="T18" s="187">
        <v>41036</v>
      </c>
      <c r="U18" s="187"/>
      <c r="V18" s="329" t="s">
        <v>44</v>
      </c>
      <c r="W18" s="326" t="s">
        <v>762</v>
      </c>
      <c r="X18" s="187">
        <f>W18+15</f>
        <v>41037</v>
      </c>
      <c r="Y18" s="187">
        <f>X18+5</f>
        <v>41042</v>
      </c>
      <c r="Z18" s="175">
        <f>205000/S2</f>
        <v>11815.630061268363</v>
      </c>
      <c r="AA18" s="187">
        <v>41045</v>
      </c>
      <c r="AB18" s="326" t="s">
        <v>718</v>
      </c>
      <c r="AC18" s="329" t="s">
        <v>44</v>
      </c>
      <c r="AD18" s="187">
        <f>AB18+5</f>
        <v>41058</v>
      </c>
      <c r="AE18" s="187"/>
      <c r="AF18" s="187"/>
      <c r="AG18" s="176"/>
    </row>
    <row r="19" spans="1:33" s="171" customFormat="1" ht="13.5" customHeight="1" x14ac:dyDescent="0.3">
      <c r="A19" s="829"/>
      <c r="B19" s="850"/>
      <c r="C19" s="851"/>
      <c r="D19" s="850"/>
      <c r="E19" s="849"/>
      <c r="F19" s="844"/>
      <c r="G19" s="343"/>
      <c r="H19" s="344"/>
      <c r="I19" s="344"/>
      <c r="J19" s="344"/>
      <c r="K19" s="344"/>
      <c r="L19" s="344"/>
      <c r="M19" s="344"/>
      <c r="N19" s="343"/>
      <c r="O19" s="344"/>
      <c r="P19" s="344"/>
      <c r="Q19" s="344"/>
      <c r="R19" s="344"/>
      <c r="S19" s="344"/>
      <c r="T19" s="344"/>
      <c r="U19" s="344"/>
      <c r="V19" s="343"/>
      <c r="W19" s="344"/>
      <c r="X19" s="344"/>
      <c r="Y19" s="344"/>
      <c r="Z19" s="345"/>
      <c r="AA19" s="344"/>
      <c r="AB19" s="344"/>
      <c r="AC19" s="343"/>
      <c r="AD19" s="346"/>
      <c r="AE19" s="346"/>
      <c r="AF19" s="346"/>
      <c r="AG19" s="347"/>
    </row>
    <row r="20" spans="1:33" s="171" customFormat="1" ht="18" customHeight="1" x14ac:dyDescent="0.3">
      <c r="A20" s="855" t="s">
        <v>717</v>
      </c>
      <c r="B20" s="845" t="s">
        <v>551</v>
      </c>
      <c r="C20" s="845" t="s">
        <v>716</v>
      </c>
      <c r="D20" s="845" t="s">
        <v>555</v>
      </c>
      <c r="E20" s="849">
        <v>8645.59</v>
      </c>
      <c r="F20" s="846" t="s">
        <v>94</v>
      </c>
      <c r="G20" s="329" t="s">
        <v>43</v>
      </c>
      <c r="H20" s="340">
        <v>40854</v>
      </c>
      <c r="I20" s="187">
        <v>40864</v>
      </c>
      <c r="J20" s="187">
        <v>40901</v>
      </c>
      <c r="K20" s="187">
        <v>40920</v>
      </c>
      <c r="L20" s="187">
        <v>40936</v>
      </c>
      <c r="M20" s="187">
        <v>40950</v>
      </c>
      <c r="N20" s="329" t="s">
        <v>43</v>
      </c>
      <c r="O20" s="340">
        <v>40957</v>
      </c>
      <c r="P20" s="187">
        <f>O20+28</f>
        <v>40985</v>
      </c>
      <c r="Q20" s="187">
        <f>P20+10</f>
        <v>40995</v>
      </c>
      <c r="R20" s="187">
        <f>Q20+7</f>
        <v>41002</v>
      </c>
      <c r="S20" s="187">
        <f>R20+7</f>
        <v>41009</v>
      </c>
      <c r="T20" s="187">
        <f>S20+10</f>
        <v>41019</v>
      </c>
      <c r="U20" s="187"/>
      <c r="V20" s="329" t="s">
        <v>43</v>
      </c>
      <c r="W20" s="187">
        <f>T20+10</f>
        <v>41029</v>
      </c>
      <c r="X20" s="187">
        <f>W20+5</f>
        <v>41034</v>
      </c>
      <c r="Y20" s="187">
        <f>X20+5</f>
        <v>41039</v>
      </c>
      <c r="Z20" s="175"/>
      <c r="AA20" s="187">
        <f>Y20+7</f>
        <v>41046</v>
      </c>
      <c r="AB20" s="187">
        <f>AA20+5</f>
        <v>41051</v>
      </c>
      <c r="AC20" s="329" t="s">
        <v>43</v>
      </c>
      <c r="AD20" s="187"/>
      <c r="AE20" s="187"/>
      <c r="AF20" s="187"/>
      <c r="AG20" s="186"/>
    </row>
    <row r="21" spans="1:33" s="171" customFormat="1" ht="18" customHeight="1" x14ac:dyDescent="0.3">
      <c r="A21" s="855"/>
      <c r="B21" s="845"/>
      <c r="C21" s="845"/>
      <c r="D21" s="845"/>
      <c r="E21" s="849"/>
      <c r="F21" s="847"/>
      <c r="G21" s="329" t="s">
        <v>50</v>
      </c>
      <c r="H21" s="340"/>
      <c r="I21" s="187"/>
      <c r="J21" s="187"/>
      <c r="K21" s="187"/>
      <c r="L21" s="187"/>
      <c r="M21" s="187"/>
      <c r="N21" s="329"/>
      <c r="O21" s="340">
        <v>41070</v>
      </c>
      <c r="P21" s="187">
        <f>O21+30</f>
        <v>41100</v>
      </c>
      <c r="Q21" s="187">
        <f>P21+15</f>
        <v>41115</v>
      </c>
      <c r="R21" s="187">
        <f>Q21+7</f>
        <v>41122</v>
      </c>
      <c r="S21" s="187">
        <f>Q21+15</f>
        <v>41130</v>
      </c>
      <c r="T21" s="187">
        <f>S21+15</f>
        <v>41145</v>
      </c>
      <c r="U21" s="187"/>
      <c r="V21" s="329" t="s">
        <v>50</v>
      </c>
      <c r="W21" s="187">
        <f>T21+15</f>
        <v>41160</v>
      </c>
      <c r="X21" s="187">
        <f>W21+15</f>
        <v>41175</v>
      </c>
      <c r="Y21" s="187"/>
      <c r="Z21" s="175"/>
      <c r="AA21" s="187">
        <f>X21+7</f>
        <v>41182</v>
      </c>
      <c r="AB21" s="187">
        <f>AA21+20</f>
        <v>41202</v>
      </c>
      <c r="AC21" s="329"/>
      <c r="AD21" s="187">
        <f>AB21+21</f>
        <v>41223</v>
      </c>
      <c r="AE21" s="187">
        <f>AD21+90</f>
        <v>41313</v>
      </c>
      <c r="AF21" s="187">
        <f>AE21+30</f>
        <v>41343</v>
      </c>
      <c r="AG21" s="186"/>
    </row>
    <row r="22" spans="1:33" s="171" customFormat="1" ht="18" customHeight="1" x14ac:dyDescent="0.3">
      <c r="A22" s="855"/>
      <c r="B22" s="845"/>
      <c r="C22" s="845"/>
      <c r="D22" s="845"/>
      <c r="E22" s="849"/>
      <c r="F22" s="847"/>
      <c r="G22" s="329" t="s">
        <v>44</v>
      </c>
      <c r="H22" s="340">
        <v>40885</v>
      </c>
      <c r="I22" s="187">
        <v>40895</v>
      </c>
      <c r="J22" s="326" t="s">
        <v>744</v>
      </c>
      <c r="K22" s="187">
        <v>40923</v>
      </c>
      <c r="L22" s="187">
        <v>40940</v>
      </c>
      <c r="M22" s="187" t="s">
        <v>744</v>
      </c>
      <c r="N22" s="329" t="s">
        <v>44</v>
      </c>
      <c r="O22" s="340">
        <v>40960</v>
      </c>
      <c r="P22" s="340">
        <v>40989</v>
      </c>
      <c r="Q22" s="187">
        <v>40998</v>
      </c>
      <c r="R22" s="187">
        <v>41031</v>
      </c>
      <c r="S22" s="187">
        <v>41034</v>
      </c>
      <c r="T22" s="187">
        <v>41036</v>
      </c>
      <c r="U22" s="187"/>
      <c r="V22" s="329" t="s">
        <v>44</v>
      </c>
      <c r="W22" s="326" t="s">
        <v>762</v>
      </c>
      <c r="X22" s="187">
        <f>W22+15</f>
        <v>41037</v>
      </c>
      <c r="Y22" s="187">
        <f>X22+5</f>
        <v>41042</v>
      </c>
      <c r="Z22" s="175">
        <f>231725/S2</f>
        <v>13355.98476071908</v>
      </c>
      <c r="AA22" s="187">
        <v>41045</v>
      </c>
      <c r="AB22" s="326" t="s">
        <v>718</v>
      </c>
      <c r="AC22" s="341" t="s">
        <v>44</v>
      </c>
      <c r="AD22" s="187">
        <f>AB22+5</f>
        <v>41058</v>
      </c>
      <c r="AE22" s="187"/>
      <c r="AF22" s="187"/>
      <c r="AG22" s="176"/>
    </row>
    <row r="23" spans="1:33" s="171" customFormat="1" ht="13.5" customHeight="1" x14ac:dyDescent="0.3">
      <c r="A23" s="855"/>
      <c r="B23" s="845"/>
      <c r="C23" s="845"/>
      <c r="D23" s="845"/>
      <c r="E23" s="849"/>
      <c r="F23" s="848"/>
      <c r="G23" s="343"/>
      <c r="H23" s="344"/>
      <c r="I23" s="344"/>
      <c r="J23" s="344"/>
      <c r="K23" s="344"/>
      <c r="L23" s="344"/>
      <c r="M23" s="344"/>
      <c r="N23" s="343"/>
      <c r="O23" s="344"/>
      <c r="P23" s="344"/>
      <c r="Q23" s="344"/>
      <c r="R23" s="344"/>
      <c r="S23" s="344"/>
      <c r="T23" s="344"/>
      <c r="U23" s="344"/>
      <c r="V23" s="343"/>
      <c r="W23" s="344"/>
      <c r="X23" s="344"/>
      <c r="Y23" s="344"/>
      <c r="Z23" s="345"/>
      <c r="AA23" s="344"/>
      <c r="AB23" s="344"/>
      <c r="AC23" s="343"/>
      <c r="AD23" s="346"/>
      <c r="AE23" s="346"/>
      <c r="AF23" s="346"/>
      <c r="AG23" s="347"/>
    </row>
    <row r="24" spans="1:33" s="171" customFormat="1" x14ac:dyDescent="0.3">
      <c r="A24" s="853"/>
      <c r="B24" s="854"/>
      <c r="C24" s="854"/>
      <c r="D24" s="854"/>
      <c r="E24" s="456"/>
      <c r="F24" s="514"/>
      <c r="G24" s="515"/>
      <c r="H24" s="514"/>
      <c r="I24" s="514"/>
      <c r="J24" s="514"/>
      <c r="K24" s="514"/>
      <c r="L24" s="514"/>
      <c r="M24" s="514"/>
      <c r="N24" s="515"/>
      <c r="O24" s="514"/>
      <c r="P24" s="514"/>
      <c r="Q24" s="514"/>
      <c r="R24" s="514"/>
      <c r="S24" s="514"/>
      <c r="T24" s="514"/>
      <c r="U24" s="514"/>
      <c r="V24" s="515"/>
      <c r="W24" s="514"/>
      <c r="X24" s="514"/>
      <c r="Y24" s="514"/>
      <c r="Z24" s="516"/>
      <c r="AA24" s="514"/>
      <c r="AB24" s="514"/>
      <c r="AC24" s="515"/>
      <c r="AD24" s="514"/>
      <c r="AE24" s="514"/>
      <c r="AF24" s="514"/>
      <c r="AG24" s="517"/>
    </row>
    <row r="25" spans="1:33" s="171" customFormat="1" x14ac:dyDescent="0.3">
      <c r="A25" s="518"/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</row>
    <row r="26" spans="1:33" ht="13.8" x14ac:dyDescent="0.25">
      <c r="A26" s="823" t="s">
        <v>802</v>
      </c>
      <c r="B26" s="824" t="s">
        <v>551</v>
      </c>
      <c r="C26" s="825" t="s">
        <v>796</v>
      </c>
      <c r="D26" s="825" t="s">
        <v>797</v>
      </c>
      <c r="E26" s="826">
        <v>90232.55</v>
      </c>
      <c r="F26" s="822" t="s">
        <v>94</v>
      </c>
      <c r="G26" s="525" t="s">
        <v>43</v>
      </c>
      <c r="H26" s="526">
        <v>40299</v>
      </c>
      <c r="I26" s="526">
        <f>H26+10</f>
        <v>40309</v>
      </c>
      <c r="J26" s="526">
        <f>I26+7</f>
        <v>40316</v>
      </c>
      <c r="K26" s="526">
        <f>J26+5</f>
        <v>40321</v>
      </c>
      <c r="L26" s="526">
        <f>K26+15</f>
        <v>40336</v>
      </c>
      <c r="M26" s="526">
        <f>L26+10</f>
        <v>40346</v>
      </c>
      <c r="N26" s="525" t="s">
        <v>43</v>
      </c>
      <c r="O26" s="526">
        <f>M26+7</f>
        <v>40353</v>
      </c>
      <c r="P26" s="526">
        <f>O26+15</f>
        <v>40368</v>
      </c>
      <c r="Q26" s="526">
        <f>P26+10</f>
        <v>40378</v>
      </c>
      <c r="R26" s="526">
        <f>Q26+7</f>
        <v>40385</v>
      </c>
      <c r="S26" s="526">
        <f>R26+5</f>
        <v>40390</v>
      </c>
      <c r="T26" s="526">
        <f>S26+3</f>
        <v>40393</v>
      </c>
      <c r="U26" s="531">
        <v>40414</v>
      </c>
      <c r="V26" s="521" t="s">
        <v>43</v>
      </c>
      <c r="W26" s="526">
        <v>40400</v>
      </c>
      <c r="X26" s="526">
        <v>40407</v>
      </c>
      <c r="Y26" s="526">
        <v>40414</v>
      </c>
      <c r="Z26" s="545"/>
      <c r="AA26" s="526">
        <v>40250</v>
      </c>
      <c r="AB26" s="526">
        <v>40250</v>
      </c>
      <c r="AC26" s="521" t="s">
        <v>43</v>
      </c>
      <c r="AD26" s="526">
        <v>40474</v>
      </c>
      <c r="AE26" s="526">
        <v>40380</v>
      </c>
      <c r="AF26" s="526">
        <v>40380</v>
      </c>
      <c r="AG26" s="552"/>
    </row>
    <row r="27" spans="1:33" ht="24.75" customHeight="1" x14ac:dyDescent="0.25">
      <c r="A27" s="823"/>
      <c r="B27" s="824"/>
      <c r="C27" s="825"/>
      <c r="D27" s="825"/>
      <c r="E27" s="826"/>
      <c r="F27" s="822"/>
      <c r="G27" s="525" t="s">
        <v>44</v>
      </c>
      <c r="H27" s="529"/>
      <c r="I27" s="529"/>
      <c r="J27" s="529"/>
      <c r="K27" s="529"/>
      <c r="L27" s="529"/>
      <c r="M27" s="529"/>
      <c r="N27" s="525" t="s">
        <v>44</v>
      </c>
      <c r="O27" s="529"/>
      <c r="P27" s="529"/>
      <c r="Q27" s="529"/>
      <c r="R27" s="529"/>
      <c r="S27" s="529"/>
      <c r="T27" s="529"/>
      <c r="U27" s="524"/>
      <c r="V27" s="521" t="s">
        <v>44</v>
      </c>
      <c r="W27" s="529"/>
      <c r="X27" s="529"/>
      <c r="Y27" s="529"/>
      <c r="Z27" s="545"/>
      <c r="AA27" s="526">
        <v>40093</v>
      </c>
      <c r="AB27" s="529" t="s">
        <v>800</v>
      </c>
      <c r="AC27" s="521" t="s">
        <v>44</v>
      </c>
      <c r="AD27" s="533" t="s">
        <v>801</v>
      </c>
      <c r="AE27" s="534">
        <v>40221</v>
      </c>
      <c r="AF27" s="529"/>
      <c r="AG27" s="520"/>
    </row>
    <row r="28" spans="1:33" ht="45" customHeight="1" x14ac:dyDescent="0.25">
      <c r="A28" s="823"/>
      <c r="B28" s="528"/>
      <c r="C28" s="528"/>
      <c r="D28" s="528"/>
      <c r="E28" s="549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3"/>
      <c r="V28" s="523"/>
      <c r="W28" s="528"/>
      <c r="X28" s="528"/>
      <c r="Y28" s="528"/>
      <c r="Z28" s="546"/>
      <c r="AA28" s="528"/>
      <c r="AB28" s="528"/>
      <c r="AC28" s="523"/>
      <c r="AD28" s="528"/>
      <c r="AE28" s="528"/>
      <c r="AF28" s="528"/>
      <c r="AG28" s="520"/>
    </row>
    <row r="29" spans="1:33" ht="13.8" x14ac:dyDescent="0.25">
      <c r="A29" s="823" t="s">
        <v>803</v>
      </c>
      <c r="B29" s="824" t="s">
        <v>798</v>
      </c>
      <c r="C29" s="825" t="s">
        <v>799</v>
      </c>
      <c r="D29" s="825" t="s">
        <v>714</v>
      </c>
      <c r="E29" s="826">
        <v>17291.169999999998</v>
      </c>
      <c r="F29" s="822" t="s">
        <v>94</v>
      </c>
      <c r="G29" s="525" t="s">
        <v>43</v>
      </c>
      <c r="H29" s="530">
        <v>40503</v>
      </c>
      <c r="I29" s="526">
        <f>H29+10</f>
        <v>40513</v>
      </c>
      <c r="J29" s="526">
        <f>I29+5</f>
        <v>40518</v>
      </c>
      <c r="K29" s="526">
        <f>J29+21</f>
        <v>40539</v>
      </c>
      <c r="L29" s="526">
        <f>K29+15</f>
        <v>40554</v>
      </c>
      <c r="M29" s="526">
        <f>L29+10</f>
        <v>40564</v>
      </c>
      <c r="N29" s="525" t="s">
        <v>43</v>
      </c>
      <c r="O29" s="526">
        <f>M29+7</f>
        <v>40571</v>
      </c>
      <c r="P29" s="526">
        <f>O29+28</f>
        <v>40599</v>
      </c>
      <c r="Q29" s="526">
        <f>P29+10</f>
        <v>40609</v>
      </c>
      <c r="R29" s="526">
        <f>Q29+7</f>
        <v>40616</v>
      </c>
      <c r="S29" s="526">
        <f>R29+7</f>
        <v>40623</v>
      </c>
      <c r="T29" s="526">
        <f>S29+10</f>
        <v>40633</v>
      </c>
      <c r="U29" s="522">
        <v>40653</v>
      </c>
      <c r="V29" s="521" t="s">
        <v>43</v>
      </c>
      <c r="W29" s="526">
        <v>40643</v>
      </c>
      <c r="X29" s="526">
        <v>40648</v>
      </c>
      <c r="Y29" s="526">
        <v>40653</v>
      </c>
      <c r="Z29" s="547"/>
      <c r="AA29" s="526">
        <f>Z27+5</f>
        <v>5</v>
      </c>
      <c r="AB29" s="526">
        <v>40665</v>
      </c>
      <c r="AC29" s="521" t="s">
        <v>43</v>
      </c>
      <c r="AD29" s="526">
        <v>40675</v>
      </c>
      <c r="AE29" s="526">
        <v>41005</v>
      </c>
      <c r="AF29" s="526">
        <f>AE29+30</f>
        <v>41035</v>
      </c>
      <c r="AG29" s="552"/>
    </row>
    <row r="30" spans="1:33" ht="27.6" x14ac:dyDescent="0.25">
      <c r="A30" s="823"/>
      <c r="B30" s="824"/>
      <c r="C30" s="825"/>
      <c r="D30" s="825"/>
      <c r="E30" s="826"/>
      <c r="F30" s="822"/>
      <c r="G30" s="525" t="s">
        <v>804</v>
      </c>
      <c r="H30" s="530">
        <v>40908</v>
      </c>
      <c r="I30" s="526" t="s">
        <v>744</v>
      </c>
      <c r="J30" s="526" t="s">
        <v>744</v>
      </c>
      <c r="K30" s="526">
        <f>H30+10</f>
        <v>40918</v>
      </c>
      <c r="L30" s="526">
        <f>K30+15</f>
        <v>40933</v>
      </c>
      <c r="M30" s="526" t="s">
        <v>744</v>
      </c>
      <c r="N30" s="525" t="s">
        <v>226</v>
      </c>
      <c r="O30" s="526">
        <f>L30+5</f>
        <v>40938</v>
      </c>
      <c r="P30" s="526">
        <f>O30+28</f>
        <v>40966</v>
      </c>
      <c r="Q30" s="526">
        <f>P30+7</f>
        <v>40973</v>
      </c>
      <c r="R30" s="526" t="s">
        <v>744</v>
      </c>
      <c r="S30" s="526">
        <f>Q30+5</f>
        <v>40978</v>
      </c>
      <c r="T30" s="526">
        <f>S30+7</f>
        <v>40985</v>
      </c>
      <c r="U30" s="522" t="s">
        <v>744</v>
      </c>
      <c r="V30" s="521" t="s">
        <v>226</v>
      </c>
      <c r="W30" s="526">
        <v>40990</v>
      </c>
      <c r="X30" s="526">
        <v>40995</v>
      </c>
      <c r="Y30" s="526" t="s">
        <v>744</v>
      </c>
      <c r="Z30" s="547"/>
      <c r="AA30" s="526">
        <f>Z30+10</f>
        <v>10</v>
      </c>
      <c r="AB30" s="526">
        <v>41010</v>
      </c>
      <c r="AC30" s="521" t="s">
        <v>226</v>
      </c>
      <c r="AD30" s="526">
        <v>41017</v>
      </c>
      <c r="AE30" s="526">
        <v>41047</v>
      </c>
      <c r="AF30" s="526">
        <f>AE30+15</f>
        <v>41062</v>
      </c>
      <c r="AG30" s="520"/>
    </row>
    <row r="31" spans="1:33" ht="13.8" x14ac:dyDescent="0.25">
      <c r="A31" s="823"/>
      <c r="B31" s="824"/>
      <c r="C31" s="825"/>
      <c r="D31" s="825"/>
      <c r="E31" s="826"/>
      <c r="F31" s="822"/>
      <c r="G31" s="525" t="s">
        <v>44</v>
      </c>
      <c r="H31" s="529"/>
      <c r="I31" s="529"/>
      <c r="J31" s="529"/>
      <c r="K31" s="529"/>
      <c r="L31" s="529"/>
      <c r="M31" s="529"/>
      <c r="N31" s="525" t="s">
        <v>44</v>
      </c>
      <c r="O31" s="529"/>
      <c r="P31" s="529"/>
      <c r="Q31" s="529"/>
      <c r="R31" s="529"/>
      <c r="S31" s="529"/>
      <c r="T31" s="529"/>
      <c r="U31" s="524"/>
      <c r="V31" s="521" t="s">
        <v>44</v>
      </c>
      <c r="W31" s="529"/>
      <c r="X31" s="532"/>
      <c r="Y31" s="527"/>
      <c r="Z31" s="548"/>
      <c r="AA31" s="529"/>
      <c r="AB31" s="529"/>
      <c r="AC31" s="521" t="s">
        <v>44</v>
      </c>
      <c r="AD31" s="529"/>
      <c r="AE31" s="529"/>
      <c r="AF31" s="524"/>
      <c r="AG31" s="520"/>
    </row>
    <row r="32" spans="1:33" ht="13.8" x14ac:dyDescent="0.25">
      <c r="A32" s="519"/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20"/>
      <c r="X32" s="520"/>
      <c r="Y32" s="520"/>
      <c r="Z32" s="520"/>
      <c r="AA32" s="520"/>
      <c r="AB32" s="520"/>
      <c r="AC32" s="520"/>
      <c r="AD32" s="520"/>
      <c r="AE32" s="520"/>
      <c r="AF32" s="553"/>
      <c r="AG32" s="520"/>
    </row>
    <row r="33" spans="1:33" x14ac:dyDescent="0.25">
      <c r="A33" s="852" t="s">
        <v>557</v>
      </c>
      <c r="B33" s="852"/>
      <c r="C33" s="852"/>
      <c r="D33" s="852"/>
      <c r="E33" s="550">
        <f>SUM(E7:E31)</f>
        <v>508844.08748811227</v>
      </c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20"/>
      <c r="X33" s="520"/>
      <c r="Y33" s="520"/>
      <c r="Z33" s="551">
        <f>SUM(Z7:Z31)</f>
        <v>455745.91208018485</v>
      </c>
      <c r="AA33" s="520"/>
      <c r="AB33" s="520"/>
      <c r="AC33" s="520"/>
      <c r="AD33" s="520"/>
      <c r="AE33" s="520"/>
      <c r="AF33" s="520"/>
      <c r="AG33" s="520"/>
    </row>
  </sheetData>
  <mergeCells count="50">
    <mergeCell ref="A13:A15"/>
    <mergeCell ref="B13:B15"/>
    <mergeCell ref="E10:E12"/>
    <mergeCell ref="D7:D9"/>
    <mergeCell ref="A33:D33"/>
    <mergeCell ref="A24:D24"/>
    <mergeCell ref="A20:A23"/>
    <mergeCell ref="F16:F19"/>
    <mergeCell ref="F13:F15"/>
    <mergeCell ref="B20:B23"/>
    <mergeCell ref="F20:F23"/>
    <mergeCell ref="D20:D23"/>
    <mergeCell ref="C20:C23"/>
    <mergeCell ref="D13:D15"/>
    <mergeCell ref="E13:E15"/>
    <mergeCell ref="E20:E23"/>
    <mergeCell ref="E16:E19"/>
    <mergeCell ref="C13:C15"/>
    <mergeCell ref="B16:B19"/>
    <mergeCell ref="C16:C19"/>
    <mergeCell ref="D16:D19"/>
    <mergeCell ref="A1:N1"/>
    <mergeCell ref="B2:P2"/>
    <mergeCell ref="B3:P3"/>
    <mergeCell ref="A7:A9"/>
    <mergeCell ref="A10:A12"/>
    <mergeCell ref="B10:B12"/>
    <mergeCell ref="B7:B9"/>
    <mergeCell ref="C7:C9"/>
    <mergeCell ref="F7:F9"/>
    <mergeCell ref="E7:E9"/>
    <mergeCell ref="C10:C12"/>
    <mergeCell ref="D10:D12"/>
    <mergeCell ref="F10:F12"/>
    <mergeCell ref="Q3:Y3"/>
    <mergeCell ref="B4:P4"/>
    <mergeCell ref="Q4:Y4"/>
    <mergeCell ref="F26:F27"/>
    <mergeCell ref="A29:A31"/>
    <mergeCell ref="B29:B31"/>
    <mergeCell ref="C29:C31"/>
    <mergeCell ref="D29:D31"/>
    <mergeCell ref="E29:E31"/>
    <mergeCell ref="F29:F31"/>
    <mergeCell ref="A26:A28"/>
    <mergeCell ref="B26:B27"/>
    <mergeCell ref="C26:C27"/>
    <mergeCell ref="D26:D27"/>
    <mergeCell ref="E26:E27"/>
    <mergeCell ref="A16:A19"/>
  </mergeCells>
  <pageMargins left="0.45" right="0.24" top="1.81" bottom="0.75" header="1.1499999999999999" footer="0.3"/>
  <pageSetup scale="32" orientation="landscape" r:id="rId1"/>
  <colBreaks count="1" manualBreakCount="1">
    <brk id="33" max="1048575" man="1"/>
  </colBreaks>
  <ignoredErrors>
    <ignoredError sqref="I7:M7 O7:T7 O20:Q20 O14:P14 W7:Y7 W21:AA21 AC20:AF21 AC14:AF17 W15:AA15 O15:T16 O10:T10 O21:Q21 S21:T21 O17:Q17 S17:T17 S20:T20 R20 R17 R21 R19 E7:E23 I9:M10 I12:M13 X22:AA22 W9:AF9 Z8:AF8 W12:AF12 Z11:AF11 Z14:AA14 O9:T9 O12:T13 X18:AA18 AC22:AD22 AC18:AD18 AA7:AF7 W10:Y10 AA10:AF10 W13:Y13 AA13:AF13 W17:AA17 W16:Y16 AA16 W20:Y20 AA20" unlockedFormula="1"/>
    <ignoredError sqref="AB20:AB22 AB14:AB18" twoDigitTextYear="1" unlockedFormula="1"/>
    <ignoredError sqref="W14:Y14 H14:L1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3"/>
  <sheetViews>
    <sheetView topLeftCell="A2" zoomScale="89" zoomScaleNormal="89" workbookViewId="0">
      <pane xSplit="5" ySplit="8" topLeftCell="F10" activePane="bottomRight" state="frozen"/>
      <selection activeCell="A2" sqref="A2"/>
      <selection pane="topRight" activeCell="F2" sqref="F2"/>
      <selection pane="bottomLeft" activeCell="A10" sqref="A10"/>
      <selection pane="bottomRight" activeCell="Q38" sqref="Q38"/>
    </sheetView>
  </sheetViews>
  <sheetFormatPr defaultColWidth="9.109375" defaultRowHeight="14.4" x14ac:dyDescent="0.3"/>
  <cols>
    <col min="1" max="1" width="34.109375" style="204" customWidth="1"/>
    <col min="2" max="2" width="12.88671875" style="204" bestFit="1" customWidth="1"/>
    <col min="3" max="3" width="5.33203125" style="204" customWidth="1"/>
    <col min="4" max="4" width="12.88671875" style="204" customWidth="1"/>
    <col min="5" max="5" width="7.109375" style="204" customWidth="1"/>
    <col min="6" max="6" width="6.6640625" style="204" customWidth="1"/>
    <col min="7" max="7" width="7" style="204" customWidth="1"/>
    <col min="8" max="8" width="9" style="204" customWidth="1"/>
    <col min="9" max="9" width="12.5546875" style="204" customWidth="1"/>
    <col min="10" max="10" width="10.44140625" style="204" customWidth="1"/>
    <col min="11" max="11" width="11.5546875" style="204" customWidth="1"/>
    <col min="12" max="12" width="9.6640625" style="204" customWidth="1"/>
    <col min="13" max="13" width="9.88671875" style="204" customWidth="1"/>
    <col min="14" max="14" width="11.88671875" style="204" customWidth="1"/>
    <col min="15" max="15" width="13.88671875" style="204" customWidth="1"/>
    <col min="16" max="16" width="9.6640625" style="204" customWidth="1"/>
    <col min="17" max="17" width="10.109375" style="204" customWidth="1"/>
    <col min="18" max="18" width="9.33203125" style="204" customWidth="1"/>
    <col min="19" max="19" width="9.6640625" style="204" customWidth="1"/>
    <col min="20" max="20" width="10.33203125" style="204" customWidth="1"/>
    <col min="21" max="21" width="10.109375" style="204" customWidth="1"/>
    <col min="22" max="22" width="11.6640625" style="204" customWidth="1"/>
    <col min="23" max="23" width="12.44140625" style="204" bestFit="1" customWidth="1"/>
    <col min="24" max="24" width="8.5546875" style="204" bestFit="1" customWidth="1"/>
    <col min="25" max="25" width="16.5546875" style="204" bestFit="1" customWidth="1"/>
    <col min="26" max="27" width="12.44140625" style="204" bestFit="1" customWidth="1"/>
    <col min="28" max="28" width="8.5546875" style="204" bestFit="1" customWidth="1"/>
    <col min="29" max="29" width="12.109375" style="204" bestFit="1" customWidth="1"/>
    <col min="30" max="30" width="11.109375" style="204" bestFit="1" customWidth="1"/>
    <col min="31" max="31" width="11.88671875" style="204" bestFit="1" customWidth="1"/>
    <col min="32" max="32" width="16.5546875" style="204" bestFit="1" customWidth="1"/>
    <col min="33" max="16384" width="9.109375" style="204"/>
  </cols>
  <sheetData>
    <row r="1" spans="1:28" s="202" customFormat="1" x14ac:dyDescent="0.3">
      <c r="A1" s="856" t="s">
        <v>0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</row>
    <row r="2" spans="1:28" s="202" customFormat="1" x14ac:dyDescent="0.3">
      <c r="A2" s="210" t="s">
        <v>1</v>
      </c>
      <c r="B2" s="857" t="s">
        <v>451</v>
      </c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211"/>
      <c r="P2" s="211"/>
      <c r="Q2" s="212"/>
      <c r="R2" s="213"/>
      <c r="S2" s="214" t="s">
        <v>69</v>
      </c>
      <c r="T2" s="211"/>
      <c r="U2" s="211"/>
      <c r="V2" s="211"/>
      <c r="W2" s="211"/>
      <c r="X2" s="213"/>
    </row>
    <row r="3" spans="1:28" s="202" customFormat="1" x14ac:dyDescent="0.3">
      <c r="A3" s="210" t="s">
        <v>3</v>
      </c>
      <c r="B3" s="857" t="s">
        <v>452</v>
      </c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S3" s="202" t="s">
        <v>736</v>
      </c>
    </row>
    <row r="4" spans="1:28" s="202" customFormat="1" ht="15" thickBot="1" x14ac:dyDescent="0.35">
      <c r="A4" s="210" t="s">
        <v>453</v>
      </c>
      <c r="B4" s="857" t="s">
        <v>454</v>
      </c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215" t="s">
        <v>72</v>
      </c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28" s="202" customFormat="1" x14ac:dyDescent="0.3">
      <c r="A5" s="645" t="s">
        <v>8</v>
      </c>
      <c r="B5" s="734" t="s">
        <v>9</v>
      </c>
      <c r="C5" s="734"/>
      <c r="D5" s="734"/>
      <c r="E5" s="734"/>
      <c r="F5" s="734"/>
      <c r="G5" s="734"/>
      <c r="H5" s="734"/>
      <c r="I5" s="636" t="s">
        <v>14</v>
      </c>
      <c r="J5" s="636"/>
      <c r="K5" s="734" t="s">
        <v>448</v>
      </c>
      <c r="L5" s="734"/>
      <c r="M5" s="734"/>
      <c r="N5" s="734"/>
      <c r="O5" s="734"/>
      <c r="P5" s="734"/>
      <c r="Q5" s="734"/>
      <c r="R5" s="734"/>
      <c r="S5" s="734"/>
      <c r="T5" s="734" t="s">
        <v>20</v>
      </c>
      <c r="U5" s="734"/>
      <c r="V5" s="735"/>
      <c r="W5" s="216"/>
      <c r="X5" s="216"/>
      <c r="Y5" s="216"/>
      <c r="Z5" s="216"/>
      <c r="AA5" s="216"/>
      <c r="AB5" s="216"/>
    </row>
    <row r="6" spans="1:28" s="202" customFormat="1" x14ac:dyDescent="0.3">
      <c r="A6" s="646"/>
      <c r="B6" s="763"/>
      <c r="C6" s="763"/>
      <c r="D6" s="763"/>
      <c r="E6" s="763"/>
      <c r="F6" s="763"/>
      <c r="G6" s="763"/>
      <c r="H6" s="763"/>
      <c r="I6" s="745"/>
      <c r="J6" s="745"/>
      <c r="K6" s="745" t="s">
        <v>15</v>
      </c>
      <c r="L6" s="763" t="s">
        <v>16</v>
      </c>
      <c r="M6" s="763"/>
      <c r="N6" s="763" t="s">
        <v>17</v>
      </c>
      <c r="O6" s="763"/>
      <c r="P6" s="763" t="s">
        <v>18</v>
      </c>
      <c r="Q6" s="763"/>
      <c r="R6" s="763"/>
      <c r="S6" s="763"/>
      <c r="T6" s="763"/>
      <c r="U6" s="763"/>
      <c r="V6" s="764"/>
      <c r="W6" s="216"/>
      <c r="X6" s="216"/>
      <c r="Y6" s="216"/>
      <c r="Z6" s="216"/>
      <c r="AA6" s="216"/>
      <c r="AB6" s="216"/>
    </row>
    <row r="7" spans="1:28" s="202" customFormat="1" ht="17.25" customHeight="1" x14ac:dyDescent="0.3">
      <c r="A7" s="646"/>
      <c r="B7" s="763"/>
      <c r="C7" s="763"/>
      <c r="D7" s="763"/>
      <c r="E7" s="763"/>
      <c r="F7" s="763"/>
      <c r="G7" s="763"/>
      <c r="H7" s="763"/>
      <c r="I7" s="745"/>
      <c r="J7" s="745"/>
      <c r="K7" s="745"/>
      <c r="L7" s="763"/>
      <c r="M7" s="763"/>
      <c r="N7" s="763"/>
      <c r="O7" s="763"/>
      <c r="P7" s="763"/>
      <c r="Q7" s="763"/>
      <c r="R7" s="763"/>
      <c r="S7" s="763"/>
      <c r="T7" s="763"/>
      <c r="U7" s="763"/>
      <c r="V7" s="764"/>
      <c r="W7" s="216"/>
      <c r="X7" s="216"/>
      <c r="Y7" s="216"/>
      <c r="Z7" s="216"/>
      <c r="AA7" s="216"/>
      <c r="AB7" s="216"/>
    </row>
    <row r="8" spans="1:28" s="202" customFormat="1" ht="98.25" customHeight="1" x14ac:dyDescent="0.3">
      <c r="A8" s="646"/>
      <c r="B8" s="84" t="s">
        <v>21</v>
      </c>
      <c r="C8" s="84" t="s">
        <v>457</v>
      </c>
      <c r="D8" s="84" t="s">
        <v>458</v>
      </c>
      <c r="E8" s="84" t="s">
        <v>10</v>
      </c>
      <c r="F8" s="84" t="s">
        <v>11</v>
      </c>
      <c r="G8" s="84" t="s">
        <v>12</v>
      </c>
      <c r="H8" s="84" t="s">
        <v>13</v>
      </c>
      <c r="I8" s="84" t="s">
        <v>24</v>
      </c>
      <c r="J8" s="84" t="s">
        <v>25</v>
      </c>
      <c r="K8" s="84" t="s">
        <v>26</v>
      </c>
      <c r="L8" s="84" t="s">
        <v>27</v>
      </c>
      <c r="M8" s="84" t="s">
        <v>28</v>
      </c>
      <c r="N8" s="84" t="s">
        <v>29</v>
      </c>
      <c r="O8" s="84" t="s">
        <v>25</v>
      </c>
      <c r="P8" s="84" t="s">
        <v>13</v>
      </c>
      <c r="Q8" s="84" t="s">
        <v>494</v>
      </c>
      <c r="R8" s="84" t="s">
        <v>558</v>
      </c>
      <c r="S8" s="84" t="s">
        <v>559</v>
      </c>
      <c r="T8" s="84" t="s">
        <v>560</v>
      </c>
      <c r="U8" s="84" t="s">
        <v>561</v>
      </c>
      <c r="V8" s="86" t="s">
        <v>34</v>
      </c>
      <c r="W8" s="216"/>
      <c r="X8" s="216"/>
      <c r="Y8" s="216"/>
      <c r="Z8" s="216"/>
      <c r="AA8" s="216"/>
      <c r="AB8" s="216"/>
    </row>
    <row r="9" spans="1:28" s="202" customFormat="1" x14ac:dyDescent="0.25">
      <c r="A9" s="407"/>
      <c r="B9" s="408"/>
      <c r="C9" s="408"/>
      <c r="D9" s="408"/>
      <c r="E9" s="408"/>
      <c r="F9" s="408"/>
      <c r="G9" s="408"/>
      <c r="H9" s="409"/>
      <c r="I9" s="410" t="s">
        <v>83</v>
      </c>
      <c r="J9" s="410" t="s">
        <v>84</v>
      </c>
      <c r="K9" s="410" t="s">
        <v>85</v>
      </c>
      <c r="L9" s="411" t="s">
        <v>86</v>
      </c>
      <c r="M9" s="410" t="s">
        <v>87</v>
      </c>
      <c r="N9" s="410" t="s">
        <v>88</v>
      </c>
      <c r="O9" s="410" t="s">
        <v>84</v>
      </c>
      <c r="P9" s="409"/>
      <c r="Q9" s="412"/>
      <c r="R9" s="410" t="s">
        <v>89</v>
      </c>
      <c r="S9" s="410" t="s">
        <v>90</v>
      </c>
      <c r="T9" s="409"/>
      <c r="U9" s="409"/>
      <c r="V9" s="413"/>
      <c r="W9" s="216"/>
      <c r="X9" s="216"/>
      <c r="Y9" s="216"/>
      <c r="Z9" s="216"/>
      <c r="AA9" s="216"/>
      <c r="AB9" s="216"/>
    </row>
    <row r="10" spans="1:28" s="202" customFormat="1" ht="13.5" customHeight="1" x14ac:dyDescent="0.3">
      <c r="A10" s="766" t="s">
        <v>562</v>
      </c>
      <c r="B10" s="767" t="s">
        <v>563</v>
      </c>
      <c r="C10" s="771"/>
      <c r="D10" s="628">
        <f>(146000*8)/S2</f>
        <v>67320.272739324137</v>
      </c>
      <c r="E10" s="771" t="s">
        <v>40</v>
      </c>
      <c r="F10" s="771" t="s">
        <v>94</v>
      </c>
      <c r="G10" s="771" t="s">
        <v>94</v>
      </c>
      <c r="H10" s="225" t="s">
        <v>43</v>
      </c>
      <c r="I10" s="189">
        <v>40638</v>
      </c>
      <c r="J10" s="189">
        <f>I10+10</f>
        <v>40648</v>
      </c>
      <c r="K10" s="189">
        <f>J10+7</f>
        <v>40655</v>
      </c>
      <c r="L10" s="189">
        <f>K10+7</f>
        <v>40662</v>
      </c>
      <c r="M10" s="189">
        <f>L10+30</f>
        <v>40692</v>
      </c>
      <c r="N10" s="189">
        <f>M10+15</f>
        <v>40707</v>
      </c>
      <c r="O10" s="189">
        <f>N10+10</f>
        <v>40717</v>
      </c>
      <c r="P10" s="225" t="s">
        <v>43</v>
      </c>
      <c r="Q10" s="226"/>
      <c r="R10" s="189">
        <f>O10+7</f>
        <v>40724</v>
      </c>
      <c r="S10" s="189">
        <f>R10+15</f>
        <v>40739</v>
      </c>
      <c r="T10" s="189">
        <f>S10+30</f>
        <v>40769</v>
      </c>
      <c r="U10" s="189">
        <f>T10+120</f>
        <v>40889</v>
      </c>
      <c r="V10" s="200">
        <f>U10+5</f>
        <v>40894</v>
      </c>
      <c r="W10" s="216"/>
      <c r="X10" s="216"/>
      <c r="Y10" s="216"/>
      <c r="Z10" s="216"/>
      <c r="AA10" s="216"/>
      <c r="AB10" s="216"/>
    </row>
    <row r="11" spans="1:28" s="202" customFormat="1" ht="13.5" customHeight="1" x14ac:dyDescent="0.3">
      <c r="A11" s="766"/>
      <c r="B11" s="767"/>
      <c r="C11" s="772"/>
      <c r="D11" s="629"/>
      <c r="E11" s="772"/>
      <c r="F11" s="772"/>
      <c r="G11" s="772"/>
      <c r="H11" s="225" t="s">
        <v>50</v>
      </c>
      <c r="I11" s="189"/>
      <c r="J11" s="189"/>
      <c r="K11" s="189"/>
      <c r="L11" s="40"/>
      <c r="M11" s="40"/>
      <c r="N11" s="189"/>
      <c r="O11" s="189">
        <f>N13+10</f>
        <v>40964</v>
      </c>
      <c r="P11" s="225" t="s">
        <v>50</v>
      </c>
      <c r="Q11" s="226"/>
      <c r="R11" s="189">
        <f>O11+7</f>
        <v>40971</v>
      </c>
      <c r="S11" s="189">
        <f>R11+15</f>
        <v>40986</v>
      </c>
      <c r="T11" s="189">
        <f>S11+30</f>
        <v>41016</v>
      </c>
      <c r="U11" s="189">
        <f>T11+120</f>
        <v>41136</v>
      </c>
      <c r="V11" s="200">
        <f>U11+5</f>
        <v>41141</v>
      </c>
      <c r="W11" s="216"/>
      <c r="X11" s="216"/>
      <c r="Y11" s="216"/>
      <c r="Z11" s="216"/>
      <c r="AA11" s="216"/>
      <c r="AB11" s="216"/>
    </row>
    <row r="12" spans="1:28" s="202" customFormat="1" ht="13.5" customHeight="1" x14ac:dyDescent="0.3">
      <c r="A12" s="766"/>
      <c r="B12" s="767"/>
      <c r="C12" s="772"/>
      <c r="D12" s="629"/>
      <c r="E12" s="772"/>
      <c r="F12" s="772"/>
      <c r="G12" s="772"/>
      <c r="H12" s="225" t="s">
        <v>504</v>
      </c>
      <c r="I12" s="189"/>
      <c r="J12" s="189"/>
      <c r="K12" s="189">
        <f>L12-7</f>
        <v>41001</v>
      </c>
      <c r="L12" s="181">
        <f>M12-30</f>
        <v>41008</v>
      </c>
      <c r="M12" s="181">
        <f>N12-15</f>
        <v>41038</v>
      </c>
      <c r="N12" s="189">
        <f>O12-10</f>
        <v>41053</v>
      </c>
      <c r="O12" s="189">
        <f>R12-7</f>
        <v>41063</v>
      </c>
      <c r="P12" s="225" t="s">
        <v>504</v>
      </c>
      <c r="Q12" s="226"/>
      <c r="R12" s="189">
        <v>41070</v>
      </c>
      <c r="S12" s="189">
        <f>R12+10</f>
        <v>41080</v>
      </c>
      <c r="T12" s="189">
        <f>S12+30</f>
        <v>41110</v>
      </c>
      <c r="U12" s="189">
        <f>T12+120</f>
        <v>41230</v>
      </c>
      <c r="V12" s="200">
        <f>U12+10</f>
        <v>41240</v>
      </c>
      <c r="W12" s="216"/>
      <c r="X12" s="216"/>
      <c r="Y12" s="216"/>
      <c r="Z12" s="216"/>
      <c r="AA12" s="216"/>
      <c r="AB12" s="216"/>
    </row>
    <row r="13" spans="1:28" s="202" customFormat="1" ht="13.5" customHeight="1" x14ac:dyDescent="0.3">
      <c r="A13" s="766"/>
      <c r="B13" s="767"/>
      <c r="C13" s="772"/>
      <c r="D13" s="629"/>
      <c r="E13" s="772"/>
      <c r="F13" s="772"/>
      <c r="G13" s="772"/>
      <c r="H13" s="225" t="s">
        <v>44</v>
      </c>
      <c r="I13" s="38" t="s">
        <v>564</v>
      </c>
      <c r="J13" s="38" t="s">
        <v>565</v>
      </c>
      <c r="K13" s="38"/>
      <c r="L13" s="189">
        <v>40881</v>
      </c>
      <c r="M13" s="189">
        <v>40923</v>
      </c>
      <c r="N13" s="38" t="s">
        <v>514</v>
      </c>
      <c r="O13" s="38"/>
      <c r="P13" s="225" t="s">
        <v>44</v>
      </c>
      <c r="Q13" s="226">
        <f>2178556.92/17.3499</f>
        <v>125565.96406895715</v>
      </c>
      <c r="R13" s="189">
        <v>40981</v>
      </c>
      <c r="S13" s="189">
        <v>41033</v>
      </c>
      <c r="T13" s="189"/>
      <c r="U13" s="189">
        <f>S13+90</f>
        <v>41123</v>
      </c>
      <c r="V13" s="200">
        <f>U13+5</f>
        <v>41128</v>
      </c>
      <c r="W13" s="216"/>
      <c r="X13" s="216"/>
      <c r="Y13" s="216"/>
      <c r="Z13" s="216"/>
      <c r="AA13" s="216"/>
      <c r="AB13" s="216"/>
    </row>
    <row r="14" spans="1:28" s="202" customFormat="1" ht="13.5" customHeight="1" x14ac:dyDescent="0.3">
      <c r="A14" s="766"/>
      <c r="B14" s="767"/>
      <c r="C14" s="773"/>
      <c r="D14" s="630"/>
      <c r="E14" s="773"/>
      <c r="F14" s="773"/>
      <c r="G14" s="773"/>
      <c r="H14" s="359"/>
      <c r="I14" s="359"/>
      <c r="J14" s="359"/>
      <c r="K14" s="359"/>
      <c r="L14" s="359"/>
      <c r="M14" s="359"/>
      <c r="N14" s="359"/>
      <c r="O14" s="359"/>
      <c r="P14" s="359"/>
      <c r="Q14" s="360"/>
      <c r="R14" s="359"/>
      <c r="S14" s="359"/>
      <c r="T14" s="359"/>
      <c r="U14" s="359"/>
      <c r="V14" s="361"/>
      <c r="W14" s="216"/>
      <c r="X14" s="216"/>
      <c r="Y14" s="216"/>
      <c r="Z14" s="216"/>
      <c r="AA14" s="216"/>
      <c r="AB14" s="216"/>
    </row>
    <row r="15" spans="1:28" s="202" customFormat="1" ht="13.5" customHeight="1" x14ac:dyDescent="0.3">
      <c r="A15" s="766" t="s">
        <v>566</v>
      </c>
      <c r="B15" s="767" t="s">
        <v>567</v>
      </c>
      <c r="C15" s="771"/>
      <c r="D15" s="628">
        <f>(139000*16)/S2</f>
        <v>128185.17685980898</v>
      </c>
      <c r="E15" s="771" t="s">
        <v>40</v>
      </c>
      <c r="F15" s="771" t="s">
        <v>94</v>
      </c>
      <c r="G15" s="771" t="s">
        <v>94</v>
      </c>
      <c r="H15" s="225" t="s">
        <v>43</v>
      </c>
      <c r="I15" s="189">
        <v>40678</v>
      </c>
      <c r="J15" s="189">
        <f>I15+10</f>
        <v>40688</v>
      </c>
      <c r="K15" s="189">
        <f>J15+7</f>
        <v>40695</v>
      </c>
      <c r="L15" s="189">
        <f>K15+7</f>
        <v>40702</v>
      </c>
      <c r="M15" s="189">
        <f>L15+30</f>
        <v>40732</v>
      </c>
      <c r="N15" s="189">
        <f>M15+15</f>
        <v>40747</v>
      </c>
      <c r="O15" s="189">
        <f>N15+10</f>
        <v>40757</v>
      </c>
      <c r="P15" s="225" t="s">
        <v>43</v>
      </c>
      <c r="Q15" s="226"/>
      <c r="R15" s="189">
        <f>O15+7</f>
        <v>40764</v>
      </c>
      <c r="S15" s="189">
        <f>R15+15</f>
        <v>40779</v>
      </c>
      <c r="T15" s="189">
        <f>S15+30</f>
        <v>40809</v>
      </c>
      <c r="U15" s="189">
        <f>T15+120</f>
        <v>40929</v>
      </c>
      <c r="V15" s="200">
        <f>U15+5</f>
        <v>40934</v>
      </c>
      <c r="W15" s="216"/>
      <c r="X15" s="216"/>
      <c r="Y15" s="216"/>
      <c r="Z15" s="216"/>
      <c r="AA15" s="216"/>
      <c r="AB15" s="216"/>
    </row>
    <row r="16" spans="1:28" s="202" customFormat="1" ht="13.5" customHeight="1" x14ac:dyDescent="0.3">
      <c r="A16" s="766"/>
      <c r="B16" s="767"/>
      <c r="C16" s="772"/>
      <c r="D16" s="629"/>
      <c r="E16" s="772"/>
      <c r="F16" s="772"/>
      <c r="G16" s="772"/>
      <c r="H16" s="225" t="s">
        <v>50</v>
      </c>
      <c r="I16" s="189"/>
      <c r="J16" s="189"/>
      <c r="K16" s="189"/>
      <c r="L16" s="189"/>
      <c r="M16" s="189"/>
      <c r="N16" s="189"/>
      <c r="O16" s="189">
        <f>N18+10</f>
        <v>40964</v>
      </c>
      <c r="P16" s="225" t="s">
        <v>50</v>
      </c>
      <c r="Q16" s="226"/>
      <c r="R16" s="189">
        <f>O16+7</f>
        <v>40971</v>
      </c>
      <c r="S16" s="189">
        <f>R16+15</f>
        <v>40986</v>
      </c>
      <c r="T16" s="189">
        <f>S16+30</f>
        <v>41016</v>
      </c>
      <c r="U16" s="189">
        <f>T16+120</f>
        <v>41136</v>
      </c>
      <c r="V16" s="200">
        <f>U16+5</f>
        <v>41141</v>
      </c>
      <c r="W16" s="216"/>
      <c r="X16" s="216"/>
      <c r="Y16" s="216"/>
      <c r="Z16" s="216"/>
      <c r="AA16" s="216"/>
      <c r="AB16" s="216"/>
    </row>
    <row r="17" spans="1:28" s="202" customFormat="1" ht="13.5" customHeight="1" x14ac:dyDescent="0.3">
      <c r="A17" s="766"/>
      <c r="B17" s="767"/>
      <c r="C17" s="772"/>
      <c r="D17" s="629"/>
      <c r="E17" s="772"/>
      <c r="F17" s="772"/>
      <c r="G17" s="772"/>
      <c r="H17" s="225" t="s">
        <v>504</v>
      </c>
      <c r="I17" s="189">
        <f>J17-10</f>
        <v>40979</v>
      </c>
      <c r="J17" s="189">
        <f>K17-7</f>
        <v>40989</v>
      </c>
      <c r="K17" s="189">
        <f>L17-7</f>
        <v>40996</v>
      </c>
      <c r="L17" s="181">
        <f>M17-30</f>
        <v>41003</v>
      </c>
      <c r="M17" s="181">
        <f>N17-15</f>
        <v>41033</v>
      </c>
      <c r="N17" s="189">
        <f>O17-15</f>
        <v>41048</v>
      </c>
      <c r="O17" s="189">
        <f>R17-7</f>
        <v>41063</v>
      </c>
      <c r="P17" s="225" t="s">
        <v>504</v>
      </c>
      <c r="Q17" s="41"/>
      <c r="R17" s="189">
        <v>41070</v>
      </c>
      <c r="S17" s="189">
        <f>R17+10</f>
        <v>41080</v>
      </c>
      <c r="T17" s="189">
        <f>S17+30</f>
        <v>41110</v>
      </c>
      <c r="U17" s="189">
        <f>T17+120</f>
        <v>41230</v>
      </c>
      <c r="V17" s="200">
        <f>U17+10</f>
        <v>41240</v>
      </c>
      <c r="W17" s="216"/>
      <c r="X17" s="216"/>
      <c r="Y17" s="216"/>
      <c r="Z17" s="216"/>
      <c r="AA17" s="216"/>
      <c r="AB17" s="216"/>
    </row>
    <row r="18" spans="1:28" s="202" customFormat="1" ht="13.5" customHeight="1" x14ac:dyDescent="0.3">
      <c r="A18" s="766"/>
      <c r="B18" s="767"/>
      <c r="C18" s="772"/>
      <c r="D18" s="629"/>
      <c r="E18" s="772"/>
      <c r="F18" s="772"/>
      <c r="G18" s="772"/>
      <c r="H18" s="225" t="s">
        <v>44</v>
      </c>
      <c r="I18" s="38" t="s">
        <v>564</v>
      </c>
      <c r="J18" s="38" t="s">
        <v>565</v>
      </c>
      <c r="K18" s="38"/>
      <c r="L18" s="189">
        <v>40881</v>
      </c>
      <c r="M18" s="189">
        <v>40923</v>
      </c>
      <c r="N18" s="38" t="s">
        <v>514</v>
      </c>
      <c r="O18" s="38"/>
      <c r="P18" s="225" t="s">
        <v>44</v>
      </c>
      <c r="Q18" s="226">
        <f>3987050/17.3499</f>
        <v>229802.47724770746</v>
      </c>
      <c r="R18" s="189">
        <f>S18-10</f>
        <v>41048</v>
      </c>
      <c r="S18" s="189" t="s">
        <v>721</v>
      </c>
      <c r="T18" s="189"/>
      <c r="U18" s="189">
        <f>S18+90</f>
        <v>41148</v>
      </c>
      <c r="V18" s="200">
        <f>U18+5</f>
        <v>41153</v>
      </c>
      <c r="W18" s="216"/>
      <c r="X18" s="216"/>
      <c r="Y18" s="216"/>
      <c r="Z18" s="216"/>
      <c r="AA18" s="216"/>
      <c r="AB18" s="216"/>
    </row>
    <row r="19" spans="1:28" s="202" customFormat="1" ht="13.5" customHeight="1" x14ac:dyDescent="0.3">
      <c r="A19" s="766"/>
      <c r="B19" s="767"/>
      <c r="C19" s="773"/>
      <c r="D19" s="630"/>
      <c r="E19" s="773"/>
      <c r="F19" s="773"/>
      <c r="G19" s="773"/>
      <c r="H19" s="359"/>
      <c r="I19" s="359"/>
      <c r="J19" s="359"/>
      <c r="K19" s="359"/>
      <c r="L19" s="359"/>
      <c r="M19" s="359"/>
      <c r="N19" s="359"/>
      <c r="O19" s="359"/>
      <c r="P19" s="359"/>
      <c r="Q19" s="360"/>
      <c r="R19" s="359"/>
      <c r="S19" s="359"/>
      <c r="T19" s="359"/>
      <c r="U19" s="359"/>
      <c r="V19" s="361"/>
      <c r="W19" s="216"/>
      <c r="X19" s="216"/>
      <c r="Y19" s="216"/>
      <c r="Z19" s="216"/>
      <c r="AA19" s="216"/>
      <c r="AB19" s="216"/>
    </row>
    <row r="20" spans="1:28" s="202" customFormat="1" ht="13.5" customHeight="1" x14ac:dyDescent="0.3">
      <c r="A20" s="766" t="s">
        <v>568</v>
      </c>
      <c r="B20" s="767" t="s">
        <v>569</v>
      </c>
      <c r="C20" s="771"/>
      <c r="D20" s="628">
        <f>(163000*8)/S2</f>
        <v>75158.934633629004</v>
      </c>
      <c r="E20" s="771" t="s">
        <v>40</v>
      </c>
      <c r="F20" s="771" t="s">
        <v>94</v>
      </c>
      <c r="G20" s="771" t="s">
        <v>94</v>
      </c>
      <c r="H20" s="225" t="s">
        <v>43</v>
      </c>
      <c r="I20" s="189">
        <v>40739</v>
      </c>
      <c r="J20" s="189"/>
      <c r="K20" s="189"/>
      <c r="L20" s="189"/>
      <c r="M20" s="189"/>
      <c r="N20" s="189">
        <v>40913</v>
      </c>
      <c r="O20" s="189"/>
      <c r="P20" s="225" t="s">
        <v>43</v>
      </c>
      <c r="Q20" s="226"/>
      <c r="R20" s="189"/>
      <c r="S20" s="189" t="s">
        <v>233</v>
      </c>
      <c r="T20" s="189"/>
      <c r="U20" s="189"/>
      <c r="V20" s="200"/>
      <c r="W20" s="216"/>
      <c r="X20" s="216"/>
      <c r="Y20" s="216"/>
      <c r="Z20" s="216"/>
      <c r="AA20" s="216"/>
      <c r="AB20" s="216"/>
    </row>
    <row r="21" spans="1:28" s="202" customFormat="1" ht="13.5" customHeight="1" x14ac:dyDescent="0.3">
      <c r="A21" s="766"/>
      <c r="B21" s="767"/>
      <c r="C21" s="772"/>
      <c r="D21" s="629"/>
      <c r="E21" s="772"/>
      <c r="F21" s="772"/>
      <c r="G21" s="772"/>
      <c r="H21" s="225" t="s">
        <v>50</v>
      </c>
      <c r="I21" s="189">
        <v>41058</v>
      </c>
      <c r="J21" s="189"/>
      <c r="K21" s="189">
        <f>I21+10</f>
        <v>41068</v>
      </c>
      <c r="L21" s="227">
        <f>K21+7</f>
        <v>41075</v>
      </c>
      <c r="M21" s="181">
        <f>L21+30</f>
        <v>41105</v>
      </c>
      <c r="N21" s="189">
        <f>M21+10</f>
        <v>41115</v>
      </c>
      <c r="O21" s="189"/>
      <c r="P21" s="225" t="s">
        <v>504</v>
      </c>
      <c r="Q21" s="226"/>
      <c r="R21" s="189">
        <f>N21+7</f>
        <v>41122</v>
      </c>
      <c r="S21" s="189">
        <f>R21+10</f>
        <v>41132</v>
      </c>
      <c r="T21" s="189">
        <f>S21+15</f>
        <v>41147</v>
      </c>
      <c r="U21" s="189">
        <f>T21+120</f>
        <v>41267</v>
      </c>
      <c r="V21" s="200">
        <f>U21+10</f>
        <v>41277</v>
      </c>
      <c r="W21" s="216"/>
      <c r="X21" s="216"/>
      <c r="Y21" s="216"/>
      <c r="Z21" s="216"/>
      <c r="AA21" s="216"/>
      <c r="AB21" s="216"/>
    </row>
    <row r="22" spans="1:28" s="202" customFormat="1" ht="13.5" customHeight="1" x14ac:dyDescent="0.3">
      <c r="A22" s="766"/>
      <c r="B22" s="767"/>
      <c r="C22" s="772"/>
      <c r="D22" s="629"/>
      <c r="E22" s="772"/>
      <c r="F22" s="772"/>
      <c r="G22" s="772"/>
      <c r="H22" s="225" t="s">
        <v>44</v>
      </c>
      <c r="I22" s="38"/>
      <c r="J22" s="38"/>
      <c r="K22" s="38"/>
      <c r="L22" s="189"/>
      <c r="M22" s="189"/>
      <c r="N22" s="38"/>
      <c r="O22" s="38"/>
      <c r="P22" s="225" t="s">
        <v>44</v>
      </c>
      <c r="Q22" s="226"/>
      <c r="R22" s="38"/>
      <c r="S22" s="38"/>
      <c r="T22" s="38"/>
      <c r="U22" s="38"/>
      <c r="V22" s="201"/>
      <c r="W22" s="216"/>
      <c r="X22" s="216"/>
      <c r="Y22" s="216"/>
      <c r="Z22" s="216"/>
      <c r="AA22" s="216"/>
      <c r="AB22" s="216"/>
    </row>
    <row r="23" spans="1:28" s="202" customFormat="1" ht="13.5" customHeight="1" x14ac:dyDescent="0.3">
      <c r="A23" s="766"/>
      <c r="B23" s="767"/>
      <c r="C23" s="773"/>
      <c r="D23" s="630"/>
      <c r="E23" s="773"/>
      <c r="F23" s="773"/>
      <c r="G23" s="773"/>
      <c r="H23" s="359"/>
      <c r="I23" s="359"/>
      <c r="J23" s="359"/>
      <c r="K23" s="359"/>
      <c r="L23" s="359"/>
      <c r="M23" s="359"/>
      <c r="N23" s="359"/>
      <c r="O23" s="359"/>
      <c r="P23" s="359"/>
      <c r="Q23" s="360"/>
      <c r="R23" s="359"/>
      <c r="S23" s="359"/>
      <c r="T23" s="359"/>
      <c r="U23" s="359"/>
      <c r="V23" s="361"/>
      <c r="W23" s="216"/>
      <c r="X23" s="216"/>
      <c r="Y23" s="216"/>
      <c r="Z23" s="216"/>
      <c r="AA23" s="216"/>
      <c r="AB23" s="216"/>
    </row>
    <row r="24" spans="1:28" s="202" customFormat="1" ht="13.5" customHeight="1" x14ac:dyDescent="0.3">
      <c r="A24" s="766" t="s">
        <v>570</v>
      </c>
      <c r="B24" s="767" t="s">
        <v>571</v>
      </c>
      <c r="C24" s="771"/>
      <c r="D24" s="628">
        <f>24000*24/S3</f>
        <v>32839.224629418473</v>
      </c>
      <c r="E24" s="771" t="s">
        <v>40</v>
      </c>
      <c r="F24" s="771" t="s">
        <v>94</v>
      </c>
      <c r="G24" s="771" t="s">
        <v>94</v>
      </c>
      <c r="H24" s="225" t="s">
        <v>43</v>
      </c>
      <c r="I24" s="189">
        <v>40983</v>
      </c>
      <c r="J24" s="189"/>
      <c r="K24" s="189"/>
      <c r="L24" s="189">
        <f>I24+10</f>
        <v>40993</v>
      </c>
      <c r="M24" s="189">
        <f>L24+30</f>
        <v>41023</v>
      </c>
      <c r="N24" s="189">
        <f>M24+15</f>
        <v>41038</v>
      </c>
      <c r="O24" s="189"/>
      <c r="P24" s="225" t="s">
        <v>43</v>
      </c>
      <c r="Q24" s="226"/>
      <c r="R24" s="189">
        <f>N24+7</f>
        <v>41045</v>
      </c>
      <c r="S24" s="189">
        <f>R24+14</f>
        <v>41059</v>
      </c>
      <c r="T24" s="189"/>
      <c r="U24" s="189">
        <f>60+S24</f>
        <v>41119</v>
      </c>
      <c r="V24" s="200"/>
      <c r="W24" s="216"/>
      <c r="X24" s="216"/>
      <c r="Y24" s="216"/>
      <c r="Z24" s="216"/>
      <c r="AA24" s="216"/>
      <c r="AB24" s="216"/>
    </row>
    <row r="25" spans="1:28" s="202" customFormat="1" ht="13.5" customHeight="1" x14ac:dyDescent="0.3">
      <c r="A25" s="766"/>
      <c r="B25" s="767"/>
      <c r="C25" s="772"/>
      <c r="D25" s="629"/>
      <c r="E25" s="772"/>
      <c r="F25" s="772"/>
      <c r="G25" s="772"/>
      <c r="H25" s="225" t="s">
        <v>50</v>
      </c>
      <c r="I25" s="189">
        <v>41058</v>
      </c>
      <c r="J25" s="189"/>
      <c r="K25" s="189">
        <f>I25+10</f>
        <v>41068</v>
      </c>
      <c r="L25" s="227">
        <f>K25+7</f>
        <v>41075</v>
      </c>
      <c r="M25" s="181">
        <f>L25+30</f>
        <v>41105</v>
      </c>
      <c r="N25" s="189">
        <f>M25+10</f>
        <v>41115</v>
      </c>
      <c r="O25" s="189"/>
      <c r="P25" s="225" t="s">
        <v>504</v>
      </c>
      <c r="Q25" s="226"/>
      <c r="R25" s="189">
        <f>N25+7</f>
        <v>41122</v>
      </c>
      <c r="S25" s="189">
        <f>R25+10</f>
        <v>41132</v>
      </c>
      <c r="T25" s="189">
        <f>S25+15</f>
        <v>41147</v>
      </c>
      <c r="U25" s="189">
        <f>T25+120</f>
        <v>41267</v>
      </c>
      <c r="V25" s="200">
        <f>U25+10</f>
        <v>41277</v>
      </c>
      <c r="W25" s="216"/>
      <c r="X25" s="216"/>
      <c r="Y25" s="216"/>
      <c r="Z25" s="216"/>
      <c r="AA25" s="216"/>
      <c r="AB25" s="216"/>
    </row>
    <row r="26" spans="1:28" s="202" customFormat="1" ht="13.5" customHeight="1" x14ac:dyDescent="0.3">
      <c r="A26" s="766"/>
      <c r="B26" s="767"/>
      <c r="C26" s="772"/>
      <c r="D26" s="629"/>
      <c r="E26" s="772"/>
      <c r="F26" s="772"/>
      <c r="G26" s="772"/>
      <c r="H26" s="225" t="s">
        <v>44</v>
      </c>
      <c r="I26" s="38"/>
      <c r="J26" s="38"/>
      <c r="K26" s="38"/>
      <c r="L26" s="189"/>
      <c r="M26" s="189"/>
      <c r="N26" s="38"/>
      <c r="O26" s="38"/>
      <c r="P26" s="225" t="s">
        <v>44</v>
      </c>
      <c r="Q26" s="226"/>
      <c r="R26" s="38"/>
      <c r="S26" s="38"/>
      <c r="T26" s="38"/>
      <c r="U26" s="38"/>
      <c r="V26" s="201"/>
      <c r="W26" s="216"/>
      <c r="X26" s="216"/>
      <c r="Y26" s="216"/>
      <c r="Z26" s="216"/>
      <c r="AA26" s="216"/>
      <c r="AB26" s="216"/>
    </row>
    <row r="27" spans="1:28" s="202" customFormat="1" ht="13.5" customHeight="1" x14ac:dyDescent="0.3">
      <c r="A27" s="766"/>
      <c r="B27" s="767"/>
      <c r="C27" s="773"/>
      <c r="D27" s="630"/>
      <c r="E27" s="773"/>
      <c r="F27" s="773"/>
      <c r="G27" s="773"/>
      <c r="H27" s="359"/>
      <c r="I27" s="359"/>
      <c r="J27" s="359"/>
      <c r="K27" s="359"/>
      <c r="L27" s="359"/>
      <c r="M27" s="359"/>
      <c r="N27" s="359"/>
      <c r="O27" s="359"/>
      <c r="P27" s="359"/>
      <c r="Q27" s="360"/>
      <c r="R27" s="359"/>
      <c r="S27" s="359"/>
      <c r="T27" s="359"/>
      <c r="U27" s="359"/>
      <c r="V27" s="361"/>
      <c r="W27" s="216"/>
      <c r="X27" s="216"/>
      <c r="Y27" s="216"/>
      <c r="Z27" s="216"/>
      <c r="AA27" s="216"/>
      <c r="AB27" s="216"/>
    </row>
    <row r="28" spans="1:28" s="202" customFormat="1" ht="13.5" customHeight="1" x14ac:dyDescent="0.3">
      <c r="A28" s="766" t="s">
        <v>572</v>
      </c>
      <c r="B28" s="767" t="s">
        <v>573</v>
      </c>
      <c r="C28" s="771"/>
      <c r="D28" s="628">
        <f>(83000*24)/S3</f>
        <v>113568.98517673889</v>
      </c>
      <c r="E28" s="771" t="s">
        <v>40</v>
      </c>
      <c r="F28" s="771" t="s">
        <v>94</v>
      </c>
      <c r="G28" s="771" t="s">
        <v>94</v>
      </c>
      <c r="H28" s="225" t="s">
        <v>43</v>
      </c>
      <c r="I28" s="189">
        <v>40988</v>
      </c>
      <c r="J28" s="189"/>
      <c r="K28" s="189"/>
      <c r="L28" s="189">
        <f>I28+10</f>
        <v>40998</v>
      </c>
      <c r="M28" s="189">
        <f>L28+30</f>
        <v>41028</v>
      </c>
      <c r="N28" s="189">
        <f>M28+15</f>
        <v>41043</v>
      </c>
      <c r="O28" s="189"/>
      <c r="P28" s="225" t="s">
        <v>43</v>
      </c>
      <c r="Q28" s="226"/>
      <c r="R28" s="189">
        <f>N28+7</f>
        <v>41050</v>
      </c>
      <c r="S28" s="189">
        <f>R28+14</f>
        <v>41064</v>
      </c>
      <c r="T28" s="189">
        <f>S28+15</f>
        <v>41079</v>
      </c>
      <c r="U28" s="189">
        <f>60+S28</f>
        <v>41124</v>
      </c>
      <c r="V28" s="200">
        <f>U28+10</f>
        <v>41134</v>
      </c>
      <c r="W28" s="216"/>
      <c r="X28" s="216"/>
      <c r="Y28" s="216"/>
      <c r="Z28" s="216"/>
      <c r="AA28" s="216"/>
      <c r="AB28" s="216"/>
    </row>
    <row r="29" spans="1:28" s="202" customFormat="1" ht="13.5" customHeight="1" x14ac:dyDescent="0.3">
      <c r="A29" s="766"/>
      <c r="B29" s="767"/>
      <c r="C29" s="772"/>
      <c r="D29" s="629"/>
      <c r="E29" s="772"/>
      <c r="F29" s="772"/>
      <c r="G29" s="772"/>
      <c r="H29" s="225" t="s">
        <v>50</v>
      </c>
      <c r="I29" s="189">
        <v>41058</v>
      </c>
      <c r="J29" s="189"/>
      <c r="K29" s="189">
        <f>I29+10</f>
        <v>41068</v>
      </c>
      <c r="L29" s="181">
        <f>K29+7</f>
        <v>41075</v>
      </c>
      <c r="M29" s="181">
        <f>L29+30</f>
        <v>41105</v>
      </c>
      <c r="N29" s="189">
        <f>M29+10</f>
        <v>41115</v>
      </c>
      <c r="O29" s="189"/>
      <c r="P29" s="225" t="s">
        <v>504</v>
      </c>
      <c r="Q29" s="226"/>
      <c r="R29" s="189">
        <f>N29+7</f>
        <v>41122</v>
      </c>
      <c r="S29" s="189">
        <f>R29+10</f>
        <v>41132</v>
      </c>
      <c r="T29" s="189">
        <f>S29+15</f>
        <v>41147</v>
      </c>
      <c r="U29" s="189">
        <f>T29+120</f>
        <v>41267</v>
      </c>
      <c r="V29" s="200">
        <f>U29+10</f>
        <v>41277</v>
      </c>
      <c r="W29" s="216"/>
      <c r="X29" s="216"/>
      <c r="Y29" s="216"/>
      <c r="Z29" s="216"/>
      <c r="AA29" s="216"/>
      <c r="AB29" s="216"/>
    </row>
    <row r="30" spans="1:28" s="202" customFormat="1" ht="13.5" customHeight="1" x14ac:dyDescent="0.3">
      <c r="A30" s="766"/>
      <c r="B30" s="767"/>
      <c r="C30" s="772"/>
      <c r="D30" s="629"/>
      <c r="E30" s="772"/>
      <c r="F30" s="772"/>
      <c r="G30" s="772"/>
      <c r="H30" s="225" t="s">
        <v>44</v>
      </c>
      <c r="I30" s="38"/>
      <c r="J30" s="38"/>
      <c r="K30" s="38"/>
      <c r="L30" s="189"/>
      <c r="M30" s="189"/>
      <c r="N30" s="38"/>
      <c r="O30" s="38"/>
      <c r="P30" s="225" t="s">
        <v>44</v>
      </c>
      <c r="Q30" s="226"/>
      <c r="R30" s="38"/>
      <c r="S30" s="38"/>
      <c r="T30" s="38"/>
      <c r="U30" s="38"/>
      <c r="V30" s="201"/>
      <c r="W30" s="216"/>
      <c r="X30" s="216"/>
      <c r="Y30" s="216"/>
      <c r="Z30" s="216"/>
      <c r="AA30" s="216"/>
      <c r="AB30" s="216"/>
    </row>
    <row r="31" spans="1:28" s="202" customFormat="1" ht="13.5" customHeight="1" x14ac:dyDescent="0.3">
      <c r="A31" s="766"/>
      <c r="B31" s="767"/>
      <c r="C31" s="773"/>
      <c r="D31" s="630"/>
      <c r="E31" s="773"/>
      <c r="F31" s="773"/>
      <c r="G31" s="773"/>
      <c r="H31" s="359"/>
      <c r="I31" s="359"/>
      <c r="J31" s="359"/>
      <c r="K31" s="359"/>
      <c r="L31" s="359"/>
      <c r="M31" s="359"/>
      <c r="N31" s="359"/>
      <c r="O31" s="359"/>
      <c r="P31" s="359"/>
      <c r="Q31" s="360"/>
      <c r="R31" s="359"/>
      <c r="S31" s="359"/>
      <c r="T31" s="359"/>
      <c r="U31" s="359"/>
      <c r="V31" s="361"/>
      <c r="W31" s="216"/>
      <c r="X31" s="216"/>
      <c r="Y31" s="216"/>
      <c r="Z31" s="216"/>
      <c r="AA31" s="216"/>
      <c r="AB31" s="216"/>
    </row>
    <row r="32" spans="1:28" s="202" customFormat="1" ht="13.5" customHeight="1" x14ac:dyDescent="0.3">
      <c r="A32" s="766" t="s">
        <v>574</v>
      </c>
      <c r="B32" s="767" t="s">
        <v>575</v>
      </c>
      <c r="C32" s="771"/>
      <c r="D32" s="628">
        <f>(70000*24)/S3</f>
        <v>95781.071835803887</v>
      </c>
      <c r="E32" s="771" t="s">
        <v>40</v>
      </c>
      <c r="F32" s="771" t="s">
        <v>94</v>
      </c>
      <c r="G32" s="771" t="s">
        <v>94</v>
      </c>
      <c r="H32" s="225" t="s">
        <v>43</v>
      </c>
      <c r="I32" s="189">
        <v>40988</v>
      </c>
      <c r="J32" s="189"/>
      <c r="K32" s="189"/>
      <c r="L32" s="189">
        <f>I32+10</f>
        <v>40998</v>
      </c>
      <c r="M32" s="189">
        <f>L32+30</f>
        <v>41028</v>
      </c>
      <c r="N32" s="189">
        <f>M32+15</f>
        <v>41043</v>
      </c>
      <c r="O32" s="189"/>
      <c r="P32" s="225" t="s">
        <v>43</v>
      </c>
      <c r="Q32" s="226"/>
      <c r="R32" s="189">
        <f>N32+7</f>
        <v>41050</v>
      </c>
      <c r="S32" s="189">
        <f>R32+14</f>
        <v>41064</v>
      </c>
      <c r="T32" s="189"/>
      <c r="U32" s="189">
        <f>60+S32</f>
        <v>41124</v>
      </c>
      <c r="V32" s="200"/>
      <c r="W32" s="216"/>
      <c r="X32" s="216"/>
      <c r="Y32" s="216"/>
      <c r="Z32" s="216"/>
      <c r="AA32" s="216"/>
      <c r="AB32" s="216"/>
    </row>
    <row r="33" spans="1:28" s="202" customFormat="1" ht="13.5" customHeight="1" x14ac:dyDescent="0.3">
      <c r="A33" s="766"/>
      <c r="B33" s="767"/>
      <c r="C33" s="772"/>
      <c r="D33" s="629"/>
      <c r="E33" s="772"/>
      <c r="F33" s="772"/>
      <c r="G33" s="772"/>
      <c r="H33" s="225" t="s">
        <v>50</v>
      </c>
      <c r="I33" s="189">
        <v>41058</v>
      </c>
      <c r="J33" s="189"/>
      <c r="K33" s="189">
        <f>I33+10</f>
        <v>41068</v>
      </c>
      <c r="L33" s="181">
        <f>K33+7</f>
        <v>41075</v>
      </c>
      <c r="M33" s="181">
        <f>L33+30</f>
        <v>41105</v>
      </c>
      <c r="N33" s="189">
        <f>M33+10</f>
        <v>41115</v>
      </c>
      <c r="O33" s="189"/>
      <c r="P33" s="225" t="s">
        <v>504</v>
      </c>
      <c r="Q33" s="226"/>
      <c r="R33" s="189">
        <f>N33+7</f>
        <v>41122</v>
      </c>
      <c r="S33" s="189">
        <f>R33+10</f>
        <v>41132</v>
      </c>
      <c r="T33" s="189">
        <f>S33+15</f>
        <v>41147</v>
      </c>
      <c r="U33" s="189">
        <f>T33+120</f>
        <v>41267</v>
      </c>
      <c r="V33" s="200">
        <f>U33+10</f>
        <v>41277</v>
      </c>
      <c r="W33" s="216"/>
      <c r="X33" s="216"/>
      <c r="Y33" s="216"/>
      <c r="Z33" s="216"/>
      <c r="AA33" s="216"/>
      <c r="AB33" s="216"/>
    </row>
    <row r="34" spans="1:28" s="202" customFormat="1" ht="13.5" customHeight="1" x14ac:dyDescent="0.3">
      <c r="A34" s="766"/>
      <c r="B34" s="767"/>
      <c r="C34" s="772"/>
      <c r="D34" s="629"/>
      <c r="E34" s="772"/>
      <c r="F34" s="772"/>
      <c r="G34" s="772"/>
      <c r="H34" s="225" t="s">
        <v>44</v>
      </c>
      <c r="I34" s="38"/>
      <c r="J34" s="38"/>
      <c r="K34" s="38"/>
      <c r="L34" s="189"/>
      <c r="M34" s="189"/>
      <c r="N34" s="38"/>
      <c r="O34" s="38"/>
      <c r="P34" s="225" t="s">
        <v>44</v>
      </c>
      <c r="Q34" s="226"/>
      <c r="R34" s="38"/>
      <c r="S34" s="38"/>
      <c r="T34" s="38"/>
      <c r="U34" s="38"/>
      <c r="V34" s="201"/>
      <c r="W34" s="216"/>
      <c r="X34" s="216"/>
      <c r="Y34" s="216"/>
      <c r="Z34" s="216"/>
      <c r="AA34" s="216"/>
      <c r="AB34" s="216"/>
    </row>
    <row r="35" spans="1:28" s="202" customFormat="1" ht="13.5" customHeight="1" x14ac:dyDescent="0.3">
      <c r="A35" s="766"/>
      <c r="B35" s="767"/>
      <c r="C35" s="773"/>
      <c r="D35" s="630"/>
      <c r="E35" s="773"/>
      <c r="F35" s="773"/>
      <c r="G35" s="773"/>
      <c r="H35" s="359"/>
      <c r="I35" s="359"/>
      <c r="J35" s="359"/>
      <c r="K35" s="359"/>
      <c r="L35" s="359"/>
      <c r="M35" s="359"/>
      <c r="N35" s="359"/>
      <c r="O35" s="359"/>
      <c r="P35" s="359"/>
      <c r="Q35" s="360"/>
      <c r="R35" s="359"/>
      <c r="S35" s="359"/>
      <c r="T35" s="359"/>
      <c r="U35" s="359"/>
      <c r="V35" s="361"/>
      <c r="W35" s="216"/>
      <c r="X35" s="216"/>
      <c r="Y35" s="216"/>
      <c r="Z35" s="216"/>
      <c r="AA35" s="216"/>
      <c r="AB35" s="216"/>
    </row>
    <row r="36" spans="1:28" s="202" customFormat="1" ht="6.75" customHeight="1" x14ac:dyDescent="0.3">
      <c r="A36" s="217"/>
      <c r="B36" s="218"/>
      <c r="C36" s="219"/>
      <c r="D36" s="220"/>
      <c r="E36" s="219"/>
      <c r="F36" s="219"/>
      <c r="G36" s="219"/>
      <c r="H36" s="228"/>
      <c r="I36" s="228"/>
      <c r="J36" s="228"/>
      <c r="K36" s="228"/>
      <c r="L36" s="228"/>
      <c r="M36" s="228"/>
      <c r="N36" s="228"/>
      <c r="O36" s="228"/>
      <c r="P36" s="228"/>
      <c r="Q36" s="229"/>
      <c r="R36" s="228"/>
      <c r="S36" s="228"/>
      <c r="T36" s="228"/>
      <c r="U36" s="228"/>
      <c r="V36" s="230"/>
      <c r="W36" s="216"/>
      <c r="X36" s="216"/>
      <c r="Y36" s="216"/>
      <c r="Z36" s="216"/>
      <c r="AA36" s="216"/>
      <c r="AB36" s="216"/>
    </row>
    <row r="37" spans="1:28" s="202" customFormat="1" ht="22.5" customHeight="1" thickBot="1" x14ac:dyDescent="0.35">
      <c r="A37" s="221" t="s">
        <v>576</v>
      </c>
      <c r="B37" s="222"/>
      <c r="C37" s="223"/>
      <c r="D37" s="224">
        <f>SUM(D10:D34)</f>
        <v>512853.66587472335</v>
      </c>
      <c r="E37" s="223"/>
      <c r="F37" s="223"/>
      <c r="G37" s="223"/>
      <c r="H37" s="231"/>
      <c r="I37" s="231"/>
      <c r="J37" s="231"/>
      <c r="K37" s="231"/>
      <c r="L37" s="231"/>
      <c r="M37" s="231"/>
      <c r="N37" s="231"/>
      <c r="O37" s="231"/>
      <c r="P37" s="231"/>
      <c r="Q37" s="232">
        <f>SUM(Q10:Q36)</f>
        <v>355368.44131666463</v>
      </c>
      <c r="R37" s="231"/>
      <c r="S37" s="231"/>
      <c r="T37" s="231"/>
      <c r="U37" s="231"/>
      <c r="V37" s="233"/>
      <c r="W37" s="216"/>
      <c r="X37" s="216"/>
      <c r="Y37" s="216"/>
      <c r="Z37" s="216"/>
      <c r="AA37" s="216"/>
      <c r="AB37" s="216"/>
    </row>
    <row r="39" spans="1:28" x14ac:dyDescent="0.3">
      <c r="A39" s="205"/>
      <c r="B39" s="61"/>
      <c r="C39" s="61"/>
      <c r="D39" s="61"/>
      <c r="E39" s="61"/>
      <c r="F39" s="61"/>
      <c r="G39" s="205"/>
      <c r="H39" s="205"/>
      <c r="I39" s="205"/>
      <c r="J39" s="205"/>
      <c r="K39" s="205"/>
      <c r="L39" s="205"/>
      <c r="M39" s="205"/>
    </row>
    <row r="40" spans="1:28" x14ac:dyDescent="0.3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</row>
    <row r="41" spans="1:28" x14ac:dyDescent="0.3">
      <c r="A41" s="205"/>
      <c r="H41" s="205"/>
      <c r="I41" s="205"/>
      <c r="J41" s="205"/>
      <c r="K41" s="205"/>
      <c r="L41" s="205"/>
      <c r="M41" s="205"/>
    </row>
    <row r="42" spans="1:28" x14ac:dyDescent="0.3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</row>
    <row r="43" spans="1:28" x14ac:dyDescent="0.3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</row>
  </sheetData>
  <mergeCells count="55">
    <mergeCell ref="C28:C31"/>
    <mergeCell ref="D28:D31"/>
    <mergeCell ref="E28:E31"/>
    <mergeCell ref="F28:F31"/>
    <mergeCell ref="G28:G31"/>
    <mergeCell ref="C20:C23"/>
    <mergeCell ref="E20:E23"/>
    <mergeCell ref="F20:F23"/>
    <mergeCell ref="G20:G23"/>
    <mergeCell ref="D20:D23"/>
    <mergeCell ref="F10:F14"/>
    <mergeCell ref="G10:G14"/>
    <mergeCell ref="D10:D14"/>
    <mergeCell ref="C15:C19"/>
    <mergeCell ref="D15:D19"/>
    <mergeCell ref="E15:E19"/>
    <mergeCell ref="F15:F19"/>
    <mergeCell ref="G15:G19"/>
    <mergeCell ref="C10:C14"/>
    <mergeCell ref="E10:E14"/>
    <mergeCell ref="F32:F35"/>
    <mergeCell ref="G32:G35"/>
    <mergeCell ref="A28:A31"/>
    <mergeCell ref="B28:B31"/>
    <mergeCell ref="A24:A27"/>
    <mergeCell ref="B24:B27"/>
    <mergeCell ref="C24:C27"/>
    <mergeCell ref="D24:D27"/>
    <mergeCell ref="A32:A35"/>
    <mergeCell ref="B32:B35"/>
    <mergeCell ref="C32:C35"/>
    <mergeCell ref="D32:D35"/>
    <mergeCell ref="E32:E35"/>
    <mergeCell ref="E24:E27"/>
    <mergeCell ref="F24:F27"/>
    <mergeCell ref="G24:G27"/>
    <mergeCell ref="A20:A23"/>
    <mergeCell ref="B20:B23"/>
    <mergeCell ref="A15:A19"/>
    <mergeCell ref="B15:B19"/>
    <mergeCell ref="A10:A14"/>
    <mergeCell ref="B10:B14"/>
    <mergeCell ref="A1:X1"/>
    <mergeCell ref="B2:N2"/>
    <mergeCell ref="B3:N3"/>
    <mergeCell ref="B4:N4"/>
    <mergeCell ref="A5:A8"/>
    <mergeCell ref="B5:H7"/>
    <mergeCell ref="I5:J7"/>
    <mergeCell ref="K5:S5"/>
    <mergeCell ref="T5:V7"/>
    <mergeCell ref="K6:K7"/>
    <mergeCell ref="L6:M7"/>
    <mergeCell ref="N6:O7"/>
    <mergeCell ref="P6:S7"/>
  </mergeCells>
  <pageMargins left="0.44" right="0.7" top="1.1200000000000001" bottom="0.75" header="0.3" footer="0.3"/>
  <pageSetup scale="50" orientation="landscape" r:id="rId1"/>
  <colBreaks count="1" manualBreakCount="1">
    <brk id="22" max="1048575" man="1"/>
  </colBreaks>
  <ignoredErrors>
    <ignoredError sqref="I13:I16 I18 J19:N20 J21:J33" twoDigitTextYear="1"/>
    <ignoredError sqref="I17 J18:N18 J13:N16 J17:N17 K21:N33 S20" twoDigitTextYear="1" unlockedFormula="1"/>
    <ignoredError sqref="P17 O17 J10:O12 O18 O13:O16 Q11:V11 Q21:V23 R20 Q18:V19 Q12:U14 Q29:V31 R28:S28 U28 R10:V10 Q16:U17 R15:U15 Q25:V27 R24:V24 Q33:V34 R32:V32" unlockedFormula="1"/>
    <ignoredError sqref="V12:V17" formula="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5"/>
  <sheetViews>
    <sheetView view="pageBreakPreview" zoomScale="60" zoomScaleNormal="80" workbookViewId="0">
      <pane xSplit="5" ySplit="9" topLeftCell="F73" activePane="bottomRight" state="frozen"/>
      <selection pane="topRight" activeCell="F1" sqref="F1"/>
      <selection pane="bottomLeft" activeCell="A10" sqref="A10"/>
      <selection pane="bottomRight" activeCell="R102" sqref="R102"/>
    </sheetView>
  </sheetViews>
  <sheetFormatPr defaultColWidth="8.6640625" defaultRowHeight="15.6" x14ac:dyDescent="0.3"/>
  <cols>
    <col min="1" max="1" width="27" style="182" customWidth="1"/>
    <col min="2" max="2" width="16.44140625" style="182" customWidth="1"/>
    <col min="3" max="3" width="6.88671875" style="182" customWidth="1"/>
    <col min="4" max="4" width="9.109375" style="182" customWidth="1"/>
    <col min="5" max="5" width="12.88671875" style="182" customWidth="1"/>
    <col min="6" max="6" width="19" style="182" customWidth="1"/>
    <col min="7" max="7" width="7.33203125" style="182" customWidth="1"/>
    <col min="8" max="8" width="8.6640625" style="182" customWidth="1"/>
    <col min="9" max="9" width="10.109375" style="182" customWidth="1"/>
    <col min="10" max="11" width="13.88671875" style="182" customWidth="1"/>
    <col min="12" max="12" width="12" style="182" customWidth="1"/>
    <col min="13" max="13" width="11.44140625" style="182" customWidth="1"/>
    <col min="14" max="15" width="12" style="182" customWidth="1"/>
    <col min="16" max="16" width="13.109375" style="182" customWidth="1"/>
    <col min="17" max="17" width="10" style="182" customWidth="1"/>
    <col min="18" max="18" width="16.109375" style="182" customWidth="1"/>
    <col min="19" max="19" width="11.44140625" style="182" customWidth="1"/>
    <col min="20" max="20" width="13.44140625" style="182" customWidth="1"/>
    <col min="21" max="21" width="12.5546875" style="182" customWidth="1"/>
    <col min="22" max="22" width="10.88671875" style="182" bestFit="1" customWidth="1"/>
    <col min="23" max="23" width="12" style="182" customWidth="1"/>
    <col min="24" max="24" width="18.44140625" style="182" customWidth="1"/>
    <col min="25" max="25" width="32.88671875" style="182" customWidth="1"/>
    <col min="26" max="26" width="18.6640625" style="182" customWidth="1"/>
    <col min="27" max="27" width="32" style="182" customWidth="1"/>
    <col min="28" max="28" width="12" style="182" customWidth="1"/>
    <col min="29" max="29" width="25.88671875" style="182" customWidth="1"/>
    <col min="30" max="30" width="20.6640625" style="182" customWidth="1"/>
    <col min="31" max="31" width="21" style="182" customWidth="1"/>
    <col min="32" max="32" width="24" style="182" customWidth="1"/>
    <col min="33" max="16384" width="8.6640625" style="182"/>
  </cols>
  <sheetData>
    <row r="1" spans="1:24" x14ac:dyDescent="0.3">
      <c r="A1" s="242" t="s">
        <v>577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T1" s="242"/>
      <c r="U1" s="242"/>
      <c r="V1" s="242"/>
      <c r="W1" s="242"/>
      <c r="X1" s="242"/>
    </row>
    <row r="2" spans="1:24" x14ac:dyDescent="0.3">
      <c r="A2" s="206" t="s">
        <v>490</v>
      </c>
      <c r="B2" s="858" t="s">
        <v>491</v>
      </c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196"/>
      <c r="P2" s="196"/>
      <c r="Q2" s="196"/>
      <c r="R2" s="196"/>
      <c r="S2" s="243" t="s">
        <v>69</v>
      </c>
      <c r="T2" s="196"/>
      <c r="U2" s="196"/>
      <c r="V2" s="196"/>
      <c r="W2" s="196"/>
      <c r="X2" s="196"/>
    </row>
    <row r="3" spans="1:24" x14ac:dyDescent="0.3">
      <c r="A3" s="206" t="s">
        <v>492</v>
      </c>
      <c r="B3" s="858" t="s">
        <v>452</v>
      </c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196"/>
      <c r="P3" s="196"/>
      <c r="Q3" s="196"/>
      <c r="R3" s="196"/>
      <c r="S3" s="196"/>
      <c r="T3" s="196"/>
      <c r="U3" s="196"/>
      <c r="V3" s="196"/>
      <c r="W3" s="196"/>
      <c r="X3" s="196"/>
    </row>
    <row r="4" spans="1:24" x14ac:dyDescent="0.3">
      <c r="A4" s="206" t="s">
        <v>6</v>
      </c>
      <c r="B4" s="858" t="s">
        <v>454</v>
      </c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858"/>
      <c r="N4" s="858"/>
      <c r="O4" s="858"/>
      <c r="P4" s="858"/>
      <c r="Q4" s="858"/>
      <c r="R4" s="858"/>
      <c r="S4" s="858"/>
      <c r="T4" s="858"/>
      <c r="U4" s="858"/>
      <c r="V4" s="858"/>
      <c r="W4" s="858"/>
      <c r="X4" s="858"/>
    </row>
    <row r="5" spans="1:24" ht="16.2" thickBot="1" x14ac:dyDescent="0.35"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</row>
    <row r="6" spans="1:24" ht="12.75" customHeight="1" x14ac:dyDescent="0.3">
      <c r="A6" s="859" t="s">
        <v>8</v>
      </c>
      <c r="B6" s="861" t="s">
        <v>21</v>
      </c>
      <c r="C6" s="864" t="s">
        <v>73</v>
      </c>
      <c r="D6" s="865"/>
      <c r="E6" s="865"/>
      <c r="F6" s="865"/>
      <c r="G6" s="865"/>
      <c r="H6" s="866"/>
      <c r="I6" s="861" t="s">
        <v>13</v>
      </c>
      <c r="J6" s="870" t="s">
        <v>14</v>
      </c>
      <c r="K6" s="871"/>
      <c r="L6" s="874" t="s">
        <v>448</v>
      </c>
      <c r="M6" s="874"/>
      <c r="N6" s="874"/>
      <c r="O6" s="874"/>
      <c r="P6" s="874"/>
      <c r="Q6" s="874"/>
      <c r="R6" s="876" t="s">
        <v>18</v>
      </c>
      <c r="S6" s="877"/>
      <c r="T6" s="878"/>
      <c r="U6" s="876" t="s">
        <v>20</v>
      </c>
      <c r="V6" s="877"/>
      <c r="W6" s="877"/>
      <c r="X6" s="879"/>
    </row>
    <row r="7" spans="1:24" x14ac:dyDescent="0.3">
      <c r="A7" s="860"/>
      <c r="B7" s="862"/>
      <c r="C7" s="867"/>
      <c r="D7" s="868"/>
      <c r="E7" s="868"/>
      <c r="F7" s="868"/>
      <c r="G7" s="868"/>
      <c r="H7" s="869"/>
      <c r="I7" s="904"/>
      <c r="J7" s="872"/>
      <c r="K7" s="873"/>
      <c r="L7" s="875"/>
      <c r="M7" s="875"/>
      <c r="N7" s="875"/>
      <c r="O7" s="875"/>
      <c r="P7" s="875"/>
      <c r="Q7" s="875"/>
      <c r="R7" s="867"/>
      <c r="S7" s="868"/>
      <c r="T7" s="869"/>
      <c r="U7" s="867"/>
      <c r="V7" s="868"/>
      <c r="W7" s="868"/>
      <c r="X7" s="880"/>
    </row>
    <row r="8" spans="1:24" ht="60" customHeight="1" x14ac:dyDescent="0.3">
      <c r="A8" s="860"/>
      <c r="B8" s="863"/>
      <c r="C8" s="883" t="s">
        <v>22</v>
      </c>
      <c r="D8" s="883" t="s">
        <v>74</v>
      </c>
      <c r="E8" s="883" t="s">
        <v>10</v>
      </c>
      <c r="F8" s="883" t="s">
        <v>493</v>
      </c>
      <c r="G8" s="883" t="s">
        <v>76</v>
      </c>
      <c r="H8" s="883" t="s">
        <v>12</v>
      </c>
      <c r="I8" s="904"/>
      <c r="J8" s="883" t="s">
        <v>24</v>
      </c>
      <c r="K8" s="883" t="s">
        <v>25</v>
      </c>
      <c r="L8" s="883" t="s">
        <v>456</v>
      </c>
      <c r="M8" s="875" t="s">
        <v>16</v>
      </c>
      <c r="N8" s="875"/>
      <c r="O8" s="875" t="s">
        <v>17</v>
      </c>
      <c r="P8" s="875"/>
      <c r="Q8" s="883" t="s">
        <v>13</v>
      </c>
      <c r="R8" s="883" t="s">
        <v>494</v>
      </c>
      <c r="S8" s="883" t="s">
        <v>31</v>
      </c>
      <c r="T8" s="883" t="s">
        <v>19</v>
      </c>
      <c r="U8" s="883" t="s">
        <v>78</v>
      </c>
      <c r="V8" s="883" t="s">
        <v>79</v>
      </c>
      <c r="W8" s="883" t="s">
        <v>80</v>
      </c>
      <c r="X8" s="881" t="s">
        <v>81</v>
      </c>
    </row>
    <row r="9" spans="1:24" ht="71.25" customHeight="1" thickBot="1" x14ac:dyDescent="0.35">
      <c r="A9" s="245" t="s">
        <v>35</v>
      </c>
      <c r="B9" s="331"/>
      <c r="C9" s="884"/>
      <c r="D9" s="884"/>
      <c r="E9" s="884"/>
      <c r="F9" s="884"/>
      <c r="G9" s="884"/>
      <c r="H9" s="884"/>
      <c r="I9" s="884"/>
      <c r="J9" s="884"/>
      <c r="K9" s="884"/>
      <c r="L9" s="884"/>
      <c r="M9" s="169" t="s">
        <v>27</v>
      </c>
      <c r="N9" s="169" t="s">
        <v>28</v>
      </c>
      <c r="O9" s="169" t="s">
        <v>29</v>
      </c>
      <c r="P9" s="174" t="s">
        <v>25</v>
      </c>
      <c r="Q9" s="884"/>
      <c r="R9" s="884"/>
      <c r="S9" s="884"/>
      <c r="T9" s="884"/>
      <c r="U9" s="884"/>
      <c r="V9" s="884"/>
      <c r="W9" s="884"/>
      <c r="X9" s="882"/>
    </row>
    <row r="10" spans="1:24" s="208" customFormat="1" ht="16.2" thickTop="1" x14ac:dyDescent="0.3">
      <c r="A10" s="362" t="s">
        <v>578</v>
      </c>
      <c r="B10" s="363"/>
      <c r="C10" s="363"/>
      <c r="D10" s="363"/>
      <c r="E10" s="363"/>
      <c r="F10" s="364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  <c r="S10" s="363"/>
      <c r="T10" s="363"/>
      <c r="U10" s="363"/>
      <c r="V10" s="363"/>
      <c r="W10" s="363"/>
      <c r="X10" s="365"/>
    </row>
    <row r="11" spans="1:24" s="208" customFormat="1" x14ac:dyDescent="0.3">
      <c r="A11" s="366" t="s">
        <v>579</v>
      </c>
      <c r="B11" s="367"/>
      <c r="C11" s="367"/>
      <c r="D11" s="367"/>
      <c r="E11" s="367"/>
      <c r="F11" s="368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8"/>
      <c r="S11" s="367"/>
      <c r="T11" s="367"/>
      <c r="U11" s="367"/>
      <c r="V11" s="367"/>
      <c r="W11" s="367"/>
      <c r="X11" s="369"/>
    </row>
    <row r="12" spans="1:24" x14ac:dyDescent="0.3">
      <c r="A12" s="888" t="s">
        <v>580</v>
      </c>
      <c r="B12" s="889" t="s">
        <v>581</v>
      </c>
      <c r="C12" s="890"/>
      <c r="D12" s="890" t="s">
        <v>93</v>
      </c>
      <c r="E12" s="890" t="s">
        <v>40</v>
      </c>
      <c r="F12" s="885">
        <f>(962671.58+1362671.58+731335.79)/S2</f>
        <v>176178.47653300595</v>
      </c>
      <c r="G12" s="890" t="s">
        <v>94</v>
      </c>
      <c r="H12" s="890" t="s">
        <v>94</v>
      </c>
      <c r="I12" s="246" t="s">
        <v>43</v>
      </c>
      <c r="J12" s="198">
        <v>40436</v>
      </c>
      <c r="K12" s="198">
        <f>J12</f>
        <v>40436</v>
      </c>
      <c r="L12" s="198">
        <f>K12+7</f>
        <v>40443</v>
      </c>
      <c r="M12" s="198">
        <f>L12+7</f>
        <v>40450</v>
      </c>
      <c r="N12" s="198">
        <f>M12+30</f>
        <v>40480</v>
      </c>
      <c r="O12" s="198">
        <f>N12+10</f>
        <v>40490</v>
      </c>
      <c r="P12" s="198">
        <f>O12+10</f>
        <v>40500</v>
      </c>
      <c r="Q12" s="246" t="s">
        <v>43</v>
      </c>
      <c r="R12" s="247"/>
      <c r="S12" s="198">
        <f>P12+5</f>
        <v>40505</v>
      </c>
      <c r="T12" s="198">
        <f>S12+5</f>
        <v>40510</v>
      </c>
      <c r="U12" s="198">
        <f>T12+10</f>
        <v>40520</v>
      </c>
      <c r="V12" s="198">
        <f>U12+60</f>
        <v>40580</v>
      </c>
      <c r="W12" s="198">
        <f>V12+365</f>
        <v>40945</v>
      </c>
      <c r="X12" s="248">
        <f>R12</f>
        <v>0</v>
      </c>
    </row>
    <row r="13" spans="1:24" x14ac:dyDescent="0.3">
      <c r="A13" s="888"/>
      <c r="B13" s="889"/>
      <c r="C13" s="891"/>
      <c r="D13" s="891"/>
      <c r="E13" s="891"/>
      <c r="F13" s="886"/>
      <c r="G13" s="891"/>
      <c r="H13" s="891"/>
      <c r="I13" s="246" t="s">
        <v>44</v>
      </c>
      <c r="J13" s="197" t="s">
        <v>582</v>
      </c>
      <c r="K13" s="197" t="s">
        <v>583</v>
      </c>
      <c r="L13" s="197"/>
      <c r="M13" s="197" t="s">
        <v>584</v>
      </c>
      <c r="N13" s="197" t="s">
        <v>585</v>
      </c>
      <c r="O13" s="197" t="s">
        <v>586</v>
      </c>
      <c r="P13" s="198">
        <f>O13+10</f>
        <v>40651</v>
      </c>
      <c r="Q13" s="246" t="s">
        <v>44</v>
      </c>
      <c r="R13" s="247">
        <f>((999005/3)*2)/S2</f>
        <v>38386.580518235452</v>
      </c>
      <c r="S13" s="198">
        <v>40687</v>
      </c>
      <c r="T13" s="197" t="s">
        <v>115</v>
      </c>
      <c r="U13" s="197"/>
      <c r="V13" s="197" t="s">
        <v>587</v>
      </c>
      <c r="W13" s="198">
        <f>V13+365</f>
        <v>41267</v>
      </c>
      <c r="X13" s="249"/>
    </row>
    <row r="14" spans="1:24" x14ac:dyDescent="0.3">
      <c r="A14" s="888"/>
      <c r="B14" s="889"/>
      <c r="C14" s="892"/>
      <c r="D14" s="892"/>
      <c r="E14" s="892"/>
      <c r="F14" s="887"/>
      <c r="G14" s="892"/>
      <c r="H14" s="892"/>
      <c r="I14" s="356"/>
      <c r="J14" s="356"/>
      <c r="K14" s="356"/>
      <c r="L14" s="356"/>
      <c r="M14" s="356"/>
      <c r="N14" s="356"/>
      <c r="O14" s="356"/>
      <c r="P14" s="356"/>
      <c r="Q14" s="356"/>
      <c r="R14" s="357"/>
      <c r="S14" s="356"/>
      <c r="T14" s="356"/>
      <c r="U14" s="356"/>
      <c r="V14" s="356"/>
      <c r="W14" s="356"/>
      <c r="X14" s="358"/>
    </row>
    <row r="15" spans="1:24" x14ac:dyDescent="0.3">
      <c r="A15" s="888" t="s">
        <v>588</v>
      </c>
      <c r="B15" s="889" t="s">
        <v>589</v>
      </c>
      <c r="C15" s="890"/>
      <c r="D15" s="890" t="s">
        <v>93</v>
      </c>
      <c r="E15" s="890" t="s">
        <v>40</v>
      </c>
      <c r="F15" s="885">
        <f>(420000*3)/S2</f>
        <v>72622.89696194214</v>
      </c>
      <c r="G15" s="890" t="s">
        <v>94</v>
      </c>
      <c r="H15" s="890" t="s">
        <v>94</v>
      </c>
      <c r="I15" s="246" t="s">
        <v>43</v>
      </c>
      <c r="J15" s="198">
        <v>40391</v>
      </c>
      <c r="K15" s="198">
        <f>J15</f>
        <v>40391</v>
      </c>
      <c r="L15" s="198">
        <f>K15+7</f>
        <v>40398</v>
      </c>
      <c r="M15" s="198">
        <f>L15+7</f>
        <v>40405</v>
      </c>
      <c r="N15" s="198">
        <f>M15+30</f>
        <v>40435</v>
      </c>
      <c r="O15" s="198">
        <f>N15+10</f>
        <v>40445</v>
      </c>
      <c r="P15" s="198">
        <f>O15+10</f>
        <v>40455</v>
      </c>
      <c r="Q15" s="246" t="s">
        <v>43</v>
      </c>
      <c r="R15" s="247"/>
      <c r="S15" s="198">
        <f>P15+5</f>
        <v>40460</v>
      </c>
      <c r="T15" s="198">
        <f>S15+5</f>
        <v>40465</v>
      </c>
      <c r="U15" s="198">
        <f>T15+10</f>
        <v>40475</v>
      </c>
      <c r="V15" s="198">
        <f>U15+60</f>
        <v>40535</v>
      </c>
      <c r="W15" s="198">
        <f>V15+10</f>
        <v>40545</v>
      </c>
      <c r="X15" s="248">
        <f>R15</f>
        <v>0</v>
      </c>
    </row>
    <row r="16" spans="1:24" x14ac:dyDescent="0.3">
      <c r="A16" s="888"/>
      <c r="B16" s="889"/>
      <c r="C16" s="891"/>
      <c r="D16" s="891"/>
      <c r="E16" s="891"/>
      <c r="F16" s="886"/>
      <c r="G16" s="891"/>
      <c r="H16" s="891"/>
      <c r="I16" s="246" t="s">
        <v>44</v>
      </c>
      <c r="J16" s="197" t="s">
        <v>590</v>
      </c>
      <c r="K16" s="197" t="s">
        <v>591</v>
      </c>
      <c r="L16" s="197"/>
      <c r="M16" s="197" t="s">
        <v>592</v>
      </c>
      <c r="N16" s="197" t="s">
        <v>593</v>
      </c>
      <c r="O16" s="197" t="s">
        <v>594</v>
      </c>
      <c r="P16" s="197" t="s">
        <v>595</v>
      </c>
      <c r="Q16" s="246" t="s">
        <v>44</v>
      </c>
      <c r="R16" s="247">
        <f>2118277/S2</f>
        <v>122091.59706972374</v>
      </c>
      <c r="S16" s="247" t="s">
        <v>596</v>
      </c>
      <c r="T16" s="197" t="s">
        <v>597</v>
      </c>
      <c r="U16" s="197"/>
      <c r="V16" s="197" t="s">
        <v>598</v>
      </c>
      <c r="W16" s="198">
        <f>V16+365</f>
        <v>40681</v>
      </c>
      <c r="X16" s="249"/>
    </row>
    <row r="17" spans="1:24" x14ac:dyDescent="0.3">
      <c r="A17" s="888"/>
      <c r="B17" s="889"/>
      <c r="C17" s="892"/>
      <c r="D17" s="892"/>
      <c r="E17" s="892"/>
      <c r="F17" s="887"/>
      <c r="G17" s="892"/>
      <c r="H17" s="892"/>
      <c r="I17" s="356"/>
      <c r="J17" s="356"/>
      <c r="K17" s="356"/>
      <c r="L17" s="356"/>
      <c r="M17" s="356"/>
      <c r="N17" s="356"/>
      <c r="O17" s="356"/>
      <c r="P17" s="356"/>
      <c r="Q17" s="356"/>
      <c r="R17" s="357"/>
      <c r="S17" s="356"/>
      <c r="T17" s="356"/>
      <c r="U17" s="356"/>
      <c r="V17" s="356"/>
      <c r="W17" s="356"/>
      <c r="X17" s="358"/>
    </row>
    <row r="18" spans="1:24" x14ac:dyDescent="0.3">
      <c r="A18" s="888" t="s">
        <v>599</v>
      </c>
      <c r="B18" s="889" t="s">
        <v>600</v>
      </c>
      <c r="C18" s="890"/>
      <c r="D18" s="890" t="s">
        <v>93</v>
      </c>
      <c r="E18" s="890" t="s">
        <v>40</v>
      </c>
      <c r="F18" s="885">
        <f>(420000*3)/S2</f>
        <v>72622.89696194214</v>
      </c>
      <c r="G18" s="890" t="s">
        <v>94</v>
      </c>
      <c r="H18" s="890" t="s">
        <v>94</v>
      </c>
      <c r="I18" s="246" t="s">
        <v>43</v>
      </c>
      <c r="J18" s="198">
        <v>40436</v>
      </c>
      <c r="K18" s="198">
        <f>J18</f>
        <v>40436</v>
      </c>
      <c r="L18" s="198">
        <f>K18+7</f>
        <v>40443</v>
      </c>
      <c r="M18" s="198">
        <f>L18+7</f>
        <v>40450</v>
      </c>
      <c r="N18" s="198">
        <f>M18+30</f>
        <v>40480</v>
      </c>
      <c r="O18" s="198">
        <f>N18+10</f>
        <v>40490</v>
      </c>
      <c r="P18" s="198">
        <f>O18+10</f>
        <v>40500</v>
      </c>
      <c r="Q18" s="246" t="s">
        <v>43</v>
      </c>
      <c r="R18" s="247"/>
      <c r="S18" s="198">
        <f>P18+5</f>
        <v>40505</v>
      </c>
      <c r="T18" s="198">
        <f>S18+5</f>
        <v>40510</v>
      </c>
      <c r="U18" s="198">
        <f>T18+10</f>
        <v>40520</v>
      </c>
      <c r="V18" s="198">
        <f>U18+60</f>
        <v>40580</v>
      </c>
      <c r="W18" s="198">
        <f>V18+10</f>
        <v>40590</v>
      </c>
      <c r="X18" s="248">
        <f>R18</f>
        <v>0</v>
      </c>
    </row>
    <row r="19" spans="1:24" x14ac:dyDescent="0.3">
      <c r="A19" s="888"/>
      <c r="B19" s="889"/>
      <c r="C19" s="891"/>
      <c r="D19" s="891"/>
      <c r="E19" s="891"/>
      <c r="F19" s="886"/>
      <c r="G19" s="891"/>
      <c r="H19" s="891"/>
      <c r="I19" s="246" t="s">
        <v>44</v>
      </c>
      <c r="J19" s="197" t="s">
        <v>582</v>
      </c>
      <c r="K19" s="197" t="s">
        <v>583</v>
      </c>
      <c r="L19" s="197"/>
      <c r="M19" s="197" t="s">
        <v>584</v>
      </c>
      <c r="N19" s="197" t="s">
        <v>585</v>
      </c>
      <c r="O19" s="197" t="s">
        <v>586</v>
      </c>
      <c r="P19" s="197"/>
      <c r="Q19" s="246" t="s">
        <v>44</v>
      </c>
      <c r="R19" s="247">
        <f>((3820590/3)/S2)</f>
        <v>73402.728545985854</v>
      </c>
      <c r="S19" s="198">
        <v>40687</v>
      </c>
      <c r="T19" s="197" t="s">
        <v>123</v>
      </c>
      <c r="U19" s="197"/>
      <c r="V19" s="197" t="s">
        <v>587</v>
      </c>
      <c r="W19" s="198">
        <f>V19+365</f>
        <v>41267</v>
      </c>
      <c r="X19" s="249"/>
    </row>
    <row r="20" spans="1:24" x14ac:dyDescent="0.3">
      <c r="A20" s="888"/>
      <c r="B20" s="889"/>
      <c r="C20" s="892"/>
      <c r="D20" s="892"/>
      <c r="E20" s="892"/>
      <c r="F20" s="887"/>
      <c r="G20" s="892"/>
      <c r="H20" s="892"/>
      <c r="I20" s="356"/>
      <c r="J20" s="356"/>
      <c r="K20" s="356"/>
      <c r="L20" s="356"/>
      <c r="M20" s="356"/>
      <c r="N20" s="356"/>
      <c r="O20" s="356"/>
      <c r="P20" s="356"/>
      <c r="Q20" s="356"/>
      <c r="R20" s="357"/>
      <c r="S20" s="356"/>
      <c r="T20" s="356"/>
      <c r="U20" s="356"/>
      <c r="V20" s="356"/>
      <c r="W20" s="356"/>
      <c r="X20" s="358"/>
    </row>
    <row r="21" spans="1:24" x14ac:dyDescent="0.3">
      <c r="A21" s="888" t="s">
        <v>601</v>
      </c>
      <c r="B21" s="889" t="s">
        <v>581</v>
      </c>
      <c r="C21" s="890"/>
      <c r="D21" s="890" t="s">
        <v>93</v>
      </c>
      <c r="E21" s="890" t="s">
        <v>40</v>
      </c>
      <c r="F21" s="885">
        <f>(420000)/S2</f>
        <v>24207.632320647379</v>
      </c>
      <c r="G21" s="890" t="s">
        <v>94</v>
      </c>
      <c r="H21" s="890" t="s">
        <v>94</v>
      </c>
      <c r="I21" s="246" t="s">
        <v>43</v>
      </c>
      <c r="J21" s="198">
        <v>40436</v>
      </c>
      <c r="K21" s="198">
        <f>J21</f>
        <v>40436</v>
      </c>
      <c r="L21" s="198">
        <f>K21+7</f>
        <v>40443</v>
      </c>
      <c r="M21" s="198">
        <f>L21+7</f>
        <v>40450</v>
      </c>
      <c r="N21" s="198">
        <f>M21+30</f>
        <v>40480</v>
      </c>
      <c r="O21" s="198">
        <f>N21+10</f>
        <v>40490</v>
      </c>
      <c r="P21" s="198">
        <f>O21+10</f>
        <v>40500</v>
      </c>
      <c r="Q21" s="246" t="s">
        <v>43</v>
      </c>
      <c r="R21" s="247"/>
      <c r="S21" s="198">
        <f>P21+5</f>
        <v>40505</v>
      </c>
      <c r="T21" s="198">
        <f>S21+5</f>
        <v>40510</v>
      </c>
      <c r="U21" s="198">
        <f>T21+10</f>
        <v>40520</v>
      </c>
      <c r="V21" s="198">
        <f>U21+60</f>
        <v>40580</v>
      </c>
      <c r="W21" s="198">
        <f>V21+10</f>
        <v>40590</v>
      </c>
      <c r="X21" s="248">
        <f>R21</f>
        <v>0</v>
      </c>
    </row>
    <row r="22" spans="1:24" x14ac:dyDescent="0.3">
      <c r="A22" s="888"/>
      <c r="B22" s="889"/>
      <c r="C22" s="891"/>
      <c r="D22" s="891"/>
      <c r="E22" s="891"/>
      <c r="F22" s="886"/>
      <c r="G22" s="891"/>
      <c r="H22" s="891"/>
      <c r="I22" s="246" t="s">
        <v>44</v>
      </c>
      <c r="J22" s="197" t="s">
        <v>590</v>
      </c>
      <c r="K22" s="197" t="s">
        <v>591</v>
      </c>
      <c r="L22" s="197"/>
      <c r="M22" s="197" t="s">
        <v>592</v>
      </c>
      <c r="N22" s="197" t="s">
        <v>593</v>
      </c>
      <c r="O22" s="197" t="s">
        <v>594</v>
      </c>
      <c r="P22" s="197" t="s">
        <v>595</v>
      </c>
      <c r="Q22" s="246" t="s">
        <v>44</v>
      </c>
      <c r="R22" s="247">
        <f>R16/3</f>
        <v>40697.199023241243</v>
      </c>
      <c r="S22" s="247" t="s">
        <v>596</v>
      </c>
      <c r="T22" s="197" t="s">
        <v>597</v>
      </c>
      <c r="U22" s="197"/>
      <c r="V22" s="197" t="s">
        <v>598</v>
      </c>
      <c r="W22" s="198">
        <f>V22+365</f>
        <v>40681</v>
      </c>
      <c r="X22" s="249"/>
    </row>
    <row r="23" spans="1:24" x14ac:dyDescent="0.3">
      <c r="A23" s="888"/>
      <c r="B23" s="889"/>
      <c r="C23" s="892"/>
      <c r="D23" s="892"/>
      <c r="E23" s="892"/>
      <c r="F23" s="887"/>
      <c r="G23" s="892"/>
      <c r="H23" s="892"/>
      <c r="I23" s="356"/>
      <c r="J23" s="356"/>
      <c r="K23" s="356"/>
      <c r="L23" s="356"/>
      <c r="M23" s="356"/>
      <c r="N23" s="356"/>
      <c r="O23" s="356"/>
      <c r="P23" s="356"/>
      <c r="Q23" s="356"/>
      <c r="R23" s="357"/>
      <c r="S23" s="356"/>
      <c r="T23" s="356"/>
      <c r="U23" s="356"/>
      <c r="V23" s="356"/>
      <c r="W23" s="356"/>
      <c r="X23" s="358"/>
    </row>
    <row r="24" spans="1:24" x14ac:dyDescent="0.3">
      <c r="A24" s="888" t="s">
        <v>602</v>
      </c>
      <c r="B24" s="889" t="s">
        <v>603</v>
      </c>
      <c r="C24" s="890"/>
      <c r="D24" s="890" t="s">
        <v>93</v>
      </c>
      <c r="E24" s="890" t="s">
        <v>40</v>
      </c>
      <c r="F24" s="885">
        <f>(400000*2)/S2</f>
        <v>46109.77584885215</v>
      </c>
      <c r="G24" s="890" t="s">
        <v>94</v>
      </c>
      <c r="H24" s="890" t="s">
        <v>94</v>
      </c>
      <c r="I24" s="246" t="s">
        <v>43</v>
      </c>
      <c r="J24" s="198">
        <v>40594</v>
      </c>
      <c r="K24" s="198">
        <f>J24+3</f>
        <v>40597</v>
      </c>
      <c r="L24" s="198">
        <f>K24+7</f>
        <v>40604</v>
      </c>
      <c r="M24" s="198">
        <f>L24+7</f>
        <v>40611</v>
      </c>
      <c r="N24" s="198">
        <f>M24+30</f>
        <v>40641</v>
      </c>
      <c r="O24" s="198">
        <f>N24+10</f>
        <v>40651</v>
      </c>
      <c r="P24" s="198">
        <f>O24+4</f>
        <v>40655</v>
      </c>
      <c r="Q24" s="246" t="s">
        <v>43</v>
      </c>
      <c r="R24" s="247"/>
      <c r="S24" s="198">
        <f>P24+5</f>
        <v>40660</v>
      </c>
      <c r="T24" s="198">
        <f>S24+5</f>
        <v>40665</v>
      </c>
      <c r="U24" s="198">
        <f>T24+10</f>
        <v>40675</v>
      </c>
      <c r="V24" s="198">
        <f>U24+20</f>
        <v>40695</v>
      </c>
      <c r="W24" s="198">
        <f>V24+10</f>
        <v>40705</v>
      </c>
      <c r="X24" s="248">
        <f>R24</f>
        <v>0</v>
      </c>
    </row>
    <row r="25" spans="1:24" x14ac:dyDescent="0.3">
      <c r="A25" s="888"/>
      <c r="B25" s="889"/>
      <c r="C25" s="891"/>
      <c r="D25" s="891"/>
      <c r="E25" s="891"/>
      <c r="F25" s="886"/>
      <c r="G25" s="891"/>
      <c r="H25" s="891"/>
      <c r="I25" s="246" t="s">
        <v>44</v>
      </c>
      <c r="J25" s="197" t="s">
        <v>604</v>
      </c>
      <c r="K25" s="197" t="s">
        <v>605</v>
      </c>
      <c r="L25" s="197"/>
      <c r="M25" s="197" t="s">
        <v>584</v>
      </c>
      <c r="N25" s="197" t="s">
        <v>585</v>
      </c>
      <c r="O25" s="197" t="s">
        <v>586</v>
      </c>
      <c r="P25" s="197" t="s">
        <v>606</v>
      </c>
      <c r="Q25" s="246" t="s">
        <v>44</v>
      </c>
      <c r="R25" s="247">
        <f>(1450198*2)/S2</f>
        <v>167170.76179113422</v>
      </c>
      <c r="S25" s="198">
        <v>40687</v>
      </c>
      <c r="T25" s="197" t="s">
        <v>123</v>
      </c>
      <c r="U25" s="197"/>
      <c r="V25" s="197" t="s">
        <v>587</v>
      </c>
      <c r="W25" s="198">
        <f>V25+365</f>
        <v>41267</v>
      </c>
      <c r="X25" s="249"/>
    </row>
    <row r="26" spans="1:24" x14ac:dyDescent="0.3">
      <c r="A26" s="888"/>
      <c r="B26" s="889"/>
      <c r="C26" s="892"/>
      <c r="D26" s="892"/>
      <c r="E26" s="892"/>
      <c r="F26" s="887"/>
      <c r="G26" s="892"/>
      <c r="H26" s="892"/>
      <c r="I26" s="356"/>
      <c r="J26" s="356"/>
      <c r="K26" s="356"/>
      <c r="L26" s="356"/>
      <c r="M26" s="356"/>
      <c r="N26" s="356"/>
      <c r="O26" s="356"/>
      <c r="P26" s="356"/>
      <c r="Q26" s="356"/>
      <c r="R26" s="357"/>
      <c r="S26" s="356"/>
      <c r="T26" s="356"/>
      <c r="U26" s="356"/>
      <c r="V26" s="356"/>
      <c r="W26" s="356"/>
      <c r="X26" s="358"/>
    </row>
    <row r="27" spans="1:24" s="208" customFormat="1" x14ac:dyDescent="0.3">
      <c r="A27" s="366" t="s">
        <v>607</v>
      </c>
      <c r="B27" s="367"/>
      <c r="C27" s="367"/>
      <c r="D27" s="367"/>
      <c r="E27" s="367"/>
      <c r="F27" s="368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8"/>
      <c r="S27" s="367"/>
      <c r="T27" s="367"/>
      <c r="U27" s="367"/>
      <c r="V27" s="367"/>
      <c r="W27" s="367"/>
      <c r="X27" s="369"/>
    </row>
    <row r="28" spans="1:24" x14ac:dyDescent="0.3">
      <c r="A28" s="888" t="s">
        <v>608</v>
      </c>
      <c r="B28" s="889" t="s">
        <v>609</v>
      </c>
      <c r="C28" s="890"/>
      <c r="D28" s="890" t="s">
        <v>93</v>
      </c>
      <c r="E28" s="890" t="s">
        <v>40</v>
      </c>
      <c r="F28" s="885">
        <f>(500000*2)/S2</f>
        <v>57637.219811065188</v>
      </c>
      <c r="G28" s="890" t="s">
        <v>94</v>
      </c>
      <c r="H28" s="890" t="s">
        <v>94</v>
      </c>
      <c r="I28" s="246" t="s">
        <v>43</v>
      </c>
      <c r="J28" s="198">
        <v>40594</v>
      </c>
      <c r="K28" s="198">
        <f>J28+3</f>
        <v>40597</v>
      </c>
      <c r="L28" s="198">
        <f>K28+7</f>
        <v>40604</v>
      </c>
      <c r="M28" s="198">
        <f>L28+7</f>
        <v>40611</v>
      </c>
      <c r="N28" s="198">
        <f>M28+30</f>
        <v>40641</v>
      </c>
      <c r="O28" s="198">
        <f>N28+10</f>
        <v>40651</v>
      </c>
      <c r="P28" s="198">
        <f>O28+4</f>
        <v>40655</v>
      </c>
      <c r="Q28" s="246" t="s">
        <v>43</v>
      </c>
      <c r="R28" s="247"/>
      <c r="S28" s="198">
        <f>P28+5</f>
        <v>40660</v>
      </c>
      <c r="T28" s="198">
        <v>40949</v>
      </c>
      <c r="U28" s="198">
        <f>T28+10</f>
        <v>40959</v>
      </c>
      <c r="V28" s="198">
        <f>U28+20</f>
        <v>40979</v>
      </c>
      <c r="W28" s="198">
        <f>V28+10</f>
        <v>40989</v>
      </c>
      <c r="X28" s="248">
        <f>R28</f>
        <v>0</v>
      </c>
    </row>
    <row r="29" spans="1:24" x14ac:dyDescent="0.3">
      <c r="A29" s="888"/>
      <c r="B29" s="889"/>
      <c r="C29" s="891"/>
      <c r="D29" s="891"/>
      <c r="E29" s="891"/>
      <c r="F29" s="886"/>
      <c r="G29" s="891"/>
      <c r="H29" s="891"/>
      <c r="I29" s="246" t="s">
        <v>504</v>
      </c>
      <c r="J29" s="198">
        <f>K29-3</f>
        <v>40594</v>
      </c>
      <c r="K29" s="198">
        <f>L29-7</f>
        <v>40597</v>
      </c>
      <c r="L29" s="198">
        <f>M28-7</f>
        <v>40604</v>
      </c>
      <c r="M29" s="198">
        <f>N29-30</f>
        <v>41011</v>
      </c>
      <c r="N29" s="198">
        <f>O29-10</f>
        <v>41041</v>
      </c>
      <c r="O29" s="198">
        <f>P29-4</f>
        <v>41051</v>
      </c>
      <c r="P29" s="198">
        <f>S29-5</f>
        <v>41055</v>
      </c>
      <c r="Q29" s="246" t="s">
        <v>504</v>
      </c>
      <c r="R29" s="247"/>
      <c r="S29" s="198">
        <f>T29-10</f>
        <v>41060</v>
      </c>
      <c r="T29" s="198">
        <v>41070</v>
      </c>
      <c r="U29" s="198">
        <f>T29+10</f>
        <v>41080</v>
      </c>
      <c r="V29" s="198">
        <f>U29+20</f>
        <v>41100</v>
      </c>
      <c r="W29" s="198">
        <f>V29+20</f>
        <v>41120</v>
      </c>
      <c r="X29" s="248"/>
    </row>
    <row r="30" spans="1:24" ht="17.25" customHeight="1" x14ac:dyDescent="0.3">
      <c r="A30" s="888"/>
      <c r="B30" s="889"/>
      <c r="C30" s="891"/>
      <c r="D30" s="891"/>
      <c r="E30" s="891"/>
      <c r="F30" s="886"/>
      <c r="G30" s="891"/>
      <c r="H30" s="891"/>
      <c r="I30" s="246" t="s">
        <v>44</v>
      </c>
      <c r="J30" s="246" t="s">
        <v>604</v>
      </c>
      <c r="K30" s="246" t="s">
        <v>605</v>
      </c>
      <c r="L30" s="246"/>
      <c r="M30" s="246" t="s">
        <v>610</v>
      </c>
      <c r="N30" s="246" t="s">
        <v>135</v>
      </c>
      <c r="O30" s="246" t="s">
        <v>611</v>
      </c>
      <c r="P30" s="246" t="s">
        <v>612</v>
      </c>
      <c r="Q30" s="246" t="s">
        <v>44</v>
      </c>
      <c r="R30" s="247">
        <f>1000000/S2</f>
        <v>57637.219811065188</v>
      </c>
      <c r="S30" s="197" t="s">
        <v>136</v>
      </c>
      <c r="T30" s="197"/>
      <c r="U30" s="197"/>
      <c r="V30" s="197"/>
      <c r="W30" s="197"/>
      <c r="X30" s="249"/>
    </row>
    <row r="31" spans="1:24" x14ac:dyDescent="0.3">
      <c r="A31" s="888"/>
      <c r="B31" s="889"/>
      <c r="C31" s="892"/>
      <c r="D31" s="892"/>
      <c r="E31" s="892"/>
      <c r="F31" s="887"/>
      <c r="G31" s="892"/>
      <c r="H31" s="892"/>
      <c r="I31" s="356"/>
      <c r="J31" s="356"/>
      <c r="K31" s="356"/>
      <c r="L31" s="356"/>
      <c r="M31" s="356"/>
      <c r="N31" s="356"/>
      <c r="O31" s="356"/>
      <c r="P31" s="356"/>
      <c r="Q31" s="356"/>
      <c r="R31" s="357"/>
      <c r="S31" s="356"/>
      <c r="T31" s="356"/>
      <c r="U31" s="356"/>
      <c r="V31" s="356"/>
      <c r="W31" s="356"/>
      <c r="X31" s="358"/>
    </row>
    <row r="32" spans="1:24" s="208" customFormat="1" x14ac:dyDescent="0.3">
      <c r="A32" s="362" t="s">
        <v>613</v>
      </c>
      <c r="B32" s="363"/>
      <c r="C32" s="363"/>
      <c r="D32" s="363"/>
      <c r="E32" s="363"/>
      <c r="F32" s="364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4"/>
      <c r="S32" s="363"/>
      <c r="T32" s="363"/>
      <c r="U32" s="363"/>
      <c r="V32" s="363"/>
      <c r="W32" s="363"/>
      <c r="X32" s="365"/>
    </row>
    <row r="33" spans="1:24" s="208" customFormat="1" x14ac:dyDescent="0.3">
      <c r="A33" s="366" t="s">
        <v>614</v>
      </c>
      <c r="B33" s="367"/>
      <c r="C33" s="367"/>
      <c r="D33" s="367"/>
      <c r="E33" s="367"/>
      <c r="F33" s="368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8"/>
      <c r="S33" s="367"/>
      <c r="T33" s="367"/>
      <c r="U33" s="367"/>
      <c r="V33" s="367"/>
      <c r="W33" s="367"/>
      <c r="X33" s="369"/>
    </row>
    <row r="34" spans="1:24" x14ac:dyDescent="0.3">
      <c r="A34" s="888" t="s">
        <v>615</v>
      </c>
      <c r="B34" s="889" t="s">
        <v>616</v>
      </c>
      <c r="C34" s="890"/>
      <c r="D34" s="890" t="s">
        <v>93</v>
      </c>
      <c r="E34" s="890" t="s">
        <v>40</v>
      </c>
      <c r="F34" s="885">
        <f>1580000/S2</f>
        <v>91066.807301483001</v>
      </c>
      <c r="G34" s="890" t="s">
        <v>94</v>
      </c>
      <c r="H34" s="890" t="s">
        <v>94</v>
      </c>
      <c r="I34" s="246" t="s">
        <v>43</v>
      </c>
      <c r="J34" s="198">
        <v>39904</v>
      </c>
      <c r="K34" s="198">
        <f>J34+10</f>
        <v>39914</v>
      </c>
      <c r="L34" s="198">
        <f>K34+7</f>
        <v>39921</v>
      </c>
      <c r="M34" s="198">
        <f>L34+7</f>
        <v>39928</v>
      </c>
      <c r="N34" s="198">
        <f>M34+30</f>
        <v>39958</v>
      </c>
      <c r="O34" s="198">
        <f>N34+10</f>
        <v>39968</v>
      </c>
      <c r="P34" s="198">
        <f>O34+10</f>
        <v>39978</v>
      </c>
      <c r="Q34" s="246" t="s">
        <v>43</v>
      </c>
      <c r="R34" s="247"/>
      <c r="S34" s="198">
        <f>P34+5</f>
        <v>39983</v>
      </c>
      <c r="T34" s="198">
        <v>40099</v>
      </c>
      <c r="U34" s="198">
        <f>T34+10</f>
        <v>40109</v>
      </c>
      <c r="V34" s="198">
        <f>U34+180</f>
        <v>40289</v>
      </c>
      <c r="W34" s="198">
        <f>V34+365</f>
        <v>40654</v>
      </c>
      <c r="X34" s="248">
        <f>F34</f>
        <v>91066.807301483001</v>
      </c>
    </row>
    <row r="35" spans="1:24" x14ac:dyDescent="0.3">
      <c r="A35" s="888"/>
      <c r="B35" s="889"/>
      <c r="C35" s="891"/>
      <c r="D35" s="891"/>
      <c r="E35" s="891"/>
      <c r="F35" s="886"/>
      <c r="G35" s="891"/>
      <c r="H35" s="891"/>
      <c r="I35" s="246" t="s">
        <v>44</v>
      </c>
      <c r="J35" s="197" t="s">
        <v>617</v>
      </c>
      <c r="K35" s="197" t="s">
        <v>618</v>
      </c>
      <c r="L35" s="197"/>
      <c r="M35" s="197" t="s">
        <v>619</v>
      </c>
      <c r="N35" s="197" t="s">
        <v>620</v>
      </c>
      <c r="O35" s="197" t="s">
        <v>621</v>
      </c>
      <c r="P35" s="197" t="s">
        <v>621</v>
      </c>
      <c r="Q35" s="246" t="s">
        <v>44</v>
      </c>
      <c r="R35" s="247">
        <f>1115344.95/S2</f>
        <v>64285.382048311512</v>
      </c>
      <c r="S35" s="197" t="s">
        <v>622</v>
      </c>
      <c r="T35" s="198">
        <v>40099</v>
      </c>
      <c r="U35" s="197"/>
      <c r="V35" s="197" t="s">
        <v>623</v>
      </c>
      <c r="W35" s="198">
        <f>V35+365</f>
        <v>41040</v>
      </c>
      <c r="X35" s="249"/>
    </row>
    <row r="36" spans="1:24" x14ac:dyDescent="0.3">
      <c r="A36" s="888"/>
      <c r="B36" s="889"/>
      <c r="C36" s="892"/>
      <c r="D36" s="892"/>
      <c r="E36" s="892"/>
      <c r="F36" s="887"/>
      <c r="G36" s="892"/>
      <c r="H36" s="892"/>
      <c r="I36" s="356"/>
      <c r="J36" s="356"/>
      <c r="K36" s="356"/>
      <c r="L36" s="356"/>
      <c r="M36" s="356"/>
      <c r="N36" s="356"/>
      <c r="O36" s="356"/>
      <c r="P36" s="356"/>
      <c r="Q36" s="356"/>
      <c r="R36" s="357"/>
      <c r="S36" s="356"/>
      <c r="T36" s="356"/>
      <c r="U36" s="356"/>
      <c r="V36" s="356"/>
      <c r="W36" s="356"/>
      <c r="X36" s="358"/>
    </row>
    <row r="37" spans="1:24" x14ac:dyDescent="0.3">
      <c r="A37" s="888" t="s">
        <v>624</v>
      </c>
      <c r="B37" s="889" t="s">
        <v>625</v>
      </c>
      <c r="C37" s="890"/>
      <c r="D37" s="890" t="s">
        <v>93</v>
      </c>
      <c r="E37" s="890" t="s">
        <v>40</v>
      </c>
      <c r="F37" s="885">
        <f>135000</f>
        <v>135000</v>
      </c>
      <c r="G37" s="890" t="s">
        <v>94</v>
      </c>
      <c r="H37" s="890" t="s">
        <v>94</v>
      </c>
      <c r="I37" s="246" t="s">
        <v>43</v>
      </c>
      <c r="J37" s="198">
        <v>39904</v>
      </c>
      <c r="K37" s="198">
        <f>J37+10</f>
        <v>39914</v>
      </c>
      <c r="L37" s="198">
        <f>K37+7</f>
        <v>39921</v>
      </c>
      <c r="M37" s="198">
        <f>L37+7</f>
        <v>39928</v>
      </c>
      <c r="N37" s="198">
        <f>M37+30</f>
        <v>39958</v>
      </c>
      <c r="O37" s="198">
        <f>N37+10</f>
        <v>39968</v>
      </c>
      <c r="P37" s="198">
        <f>O37+10</f>
        <v>39978</v>
      </c>
      <c r="Q37" s="246" t="s">
        <v>43</v>
      </c>
      <c r="R37" s="247"/>
      <c r="S37" s="198">
        <f>P37+5</f>
        <v>39983</v>
      </c>
      <c r="T37" s="198">
        <v>40045</v>
      </c>
      <c r="U37" s="198">
        <f>T37+10</f>
        <v>40055</v>
      </c>
      <c r="V37" s="198">
        <f>U37+420</f>
        <v>40475</v>
      </c>
      <c r="W37" s="198">
        <f>V37+365</f>
        <v>40840</v>
      </c>
      <c r="X37" s="248">
        <f>F37</f>
        <v>135000</v>
      </c>
    </row>
    <row r="38" spans="1:24" x14ac:dyDescent="0.3">
      <c r="A38" s="888"/>
      <c r="B38" s="889"/>
      <c r="C38" s="891"/>
      <c r="D38" s="891"/>
      <c r="E38" s="891"/>
      <c r="F38" s="886"/>
      <c r="G38" s="891"/>
      <c r="H38" s="891"/>
      <c r="I38" s="246" t="s">
        <v>44</v>
      </c>
      <c r="J38" s="197" t="s">
        <v>617</v>
      </c>
      <c r="K38" s="197" t="s">
        <v>618</v>
      </c>
      <c r="L38" s="197"/>
      <c r="M38" s="197" t="s">
        <v>619</v>
      </c>
      <c r="N38" s="197" t="s">
        <v>620</v>
      </c>
      <c r="O38" s="197" t="s">
        <v>621</v>
      </c>
      <c r="P38" s="197" t="s">
        <v>621</v>
      </c>
      <c r="Q38" s="246" t="s">
        <v>44</v>
      </c>
      <c r="R38" s="247">
        <f>407668.21/S2</f>
        <v>23496.862229753486</v>
      </c>
      <c r="S38" s="197" t="s">
        <v>622</v>
      </c>
      <c r="T38" s="250">
        <v>40045</v>
      </c>
      <c r="U38" s="197"/>
      <c r="V38" s="197" t="s">
        <v>626</v>
      </c>
      <c r="W38" s="198">
        <f>V38+365</f>
        <v>40560</v>
      </c>
      <c r="X38" s="249"/>
    </row>
    <row r="39" spans="1:24" x14ac:dyDescent="0.3">
      <c r="A39" s="888"/>
      <c r="B39" s="889"/>
      <c r="C39" s="892"/>
      <c r="D39" s="892"/>
      <c r="E39" s="892"/>
      <c r="F39" s="887"/>
      <c r="G39" s="892"/>
      <c r="H39" s="892"/>
      <c r="I39" s="356"/>
      <c r="J39" s="356"/>
      <c r="K39" s="356"/>
      <c r="L39" s="356"/>
      <c r="M39" s="356"/>
      <c r="N39" s="356"/>
      <c r="O39" s="356"/>
      <c r="P39" s="356"/>
      <c r="Q39" s="356"/>
      <c r="R39" s="357"/>
      <c r="S39" s="356"/>
      <c r="T39" s="356"/>
      <c r="U39" s="356"/>
      <c r="V39" s="356"/>
      <c r="W39" s="356"/>
      <c r="X39" s="358"/>
    </row>
    <row r="40" spans="1:24" x14ac:dyDescent="0.3">
      <c r="A40" s="888" t="s">
        <v>627</v>
      </c>
      <c r="B40" s="889" t="s">
        <v>628</v>
      </c>
      <c r="C40" s="890"/>
      <c r="D40" s="890" t="s">
        <v>93</v>
      </c>
      <c r="E40" s="890" t="s">
        <v>40</v>
      </c>
      <c r="F40" s="885">
        <f>105000</f>
        <v>105000</v>
      </c>
      <c r="G40" s="890" t="s">
        <v>94</v>
      </c>
      <c r="H40" s="890" t="s">
        <v>94</v>
      </c>
      <c r="I40" s="246" t="s">
        <v>43</v>
      </c>
      <c r="J40" s="198">
        <v>39904</v>
      </c>
      <c r="K40" s="198">
        <f>J40+10</f>
        <v>39914</v>
      </c>
      <c r="L40" s="198">
        <f>K40+7</f>
        <v>39921</v>
      </c>
      <c r="M40" s="198">
        <f>L40+7</f>
        <v>39928</v>
      </c>
      <c r="N40" s="198">
        <f>M40+30</f>
        <v>39958</v>
      </c>
      <c r="O40" s="198">
        <f>N40+10</f>
        <v>39968</v>
      </c>
      <c r="P40" s="198">
        <f>O40+10</f>
        <v>39978</v>
      </c>
      <c r="Q40" s="246" t="s">
        <v>43</v>
      </c>
      <c r="R40" s="247"/>
      <c r="S40" s="198">
        <f>P40+5</f>
        <v>39983</v>
      </c>
      <c r="T40" s="198">
        <v>40045</v>
      </c>
      <c r="U40" s="198">
        <f>T40+10</f>
        <v>40055</v>
      </c>
      <c r="V40" s="198">
        <f>U40+420</f>
        <v>40475</v>
      </c>
      <c r="W40" s="198">
        <f>V40+365</f>
        <v>40840</v>
      </c>
      <c r="X40" s="248">
        <f>F40</f>
        <v>105000</v>
      </c>
    </row>
    <row r="41" spans="1:24" x14ac:dyDescent="0.3">
      <c r="A41" s="888"/>
      <c r="B41" s="889"/>
      <c r="C41" s="891"/>
      <c r="D41" s="891"/>
      <c r="E41" s="891"/>
      <c r="F41" s="886"/>
      <c r="G41" s="891"/>
      <c r="H41" s="891"/>
      <c r="I41" s="246" t="s">
        <v>44</v>
      </c>
      <c r="J41" s="197" t="s">
        <v>617</v>
      </c>
      <c r="K41" s="197" t="s">
        <v>618</v>
      </c>
      <c r="L41" s="197"/>
      <c r="M41" s="197" t="s">
        <v>619</v>
      </c>
      <c r="N41" s="197" t="s">
        <v>620</v>
      </c>
      <c r="O41" s="197" t="s">
        <v>621</v>
      </c>
      <c r="P41" s="197" t="s">
        <v>621</v>
      </c>
      <c r="Q41" s="246" t="s">
        <v>44</v>
      </c>
      <c r="R41" s="247">
        <f>303951.33/S2</f>
        <v>17518.909619075614</v>
      </c>
      <c r="S41" s="197" t="s">
        <v>629</v>
      </c>
      <c r="T41" s="250">
        <v>40045</v>
      </c>
      <c r="U41" s="197"/>
      <c r="V41" s="197" t="s">
        <v>630</v>
      </c>
      <c r="W41" s="198">
        <f>V41+365</f>
        <v>40804</v>
      </c>
      <c r="X41" s="249"/>
    </row>
    <row r="42" spans="1:24" x14ac:dyDescent="0.3">
      <c r="A42" s="888"/>
      <c r="B42" s="889"/>
      <c r="C42" s="892"/>
      <c r="D42" s="892"/>
      <c r="E42" s="892"/>
      <c r="F42" s="887"/>
      <c r="G42" s="892"/>
      <c r="H42" s="892"/>
      <c r="I42" s="356"/>
      <c r="J42" s="356"/>
      <c r="K42" s="356"/>
      <c r="L42" s="356"/>
      <c r="M42" s="356"/>
      <c r="N42" s="356"/>
      <c r="O42" s="356"/>
      <c r="P42" s="356"/>
      <c r="Q42" s="356"/>
      <c r="R42" s="357"/>
      <c r="S42" s="356"/>
      <c r="T42" s="356"/>
      <c r="U42" s="356"/>
      <c r="V42" s="356"/>
      <c r="W42" s="356"/>
      <c r="X42" s="358"/>
    </row>
    <row r="43" spans="1:24" x14ac:dyDescent="0.3">
      <c r="A43" s="888" t="s">
        <v>631</v>
      </c>
      <c r="B43" s="889" t="s">
        <v>632</v>
      </c>
      <c r="C43" s="890"/>
      <c r="D43" s="890" t="s">
        <v>93</v>
      </c>
      <c r="E43" s="890" t="s">
        <v>40</v>
      </c>
      <c r="F43" s="885">
        <f>105000</f>
        <v>105000</v>
      </c>
      <c r="G43" s="890" t="s">
        <v>94</v>
      </c>
      <c r="H43" s="890" t="s">
        <v>94</v>
      </c>
      <c r="I43" s="246" t="s">
        <v>43</v>
      </c>
      <c r="J43" s="198">
        <v>39833</v>
      </c>
      <c r="K43" s="198">
        <f>J43+10</f>
        <v>39843</v>
      </c>
      <c r="L43" s="198">
        <f>K43+7</f>
        <v>39850</v>
      </c>
      <c r="M43" s="198">
        <f>L43+7</f>
        <v>39857</v>
      </c>
      <c r="N43" s="198">
        <f>M43+30</f>
        <v>39887</v>
      </c>
      <c r="O43" s="198">
        <f>N43+10</f>
        <v>39897</v>
      </c>
      <c r="P43" s="198">
        <f>O43+10</f>
        <v>39907</v>
      </c>
      <c r="Q43" s="246" t="s">
        <v>43</v>
      </c>
      <c r="R43" s="247"/>
      <c r="S43" s="198">
        <f>P43+5</f>
        <v>39912</v>
      </c>
      <c r="T43" s="198">
        <v>39912</v>
      </c>
      <c r="U43" s="198">
        <f>T43+10</f>
        <v>39922</v>
      </c>
      <c r="V43" s="198">
        <f>U43+420</f>
        <v>40342</v>
      </c>
      <c r="W43" s="198">
        <f>V43+180</f>
        <v>40522</v>
      </c>
      <c r="X43" s="248">
        <f>F43</f>
        <v>105000</v>
      </c>
    </row>
    <row r="44" spans="1:24" x14ac:dyDescent="0.3">
      <c r="A44" s="888"/>
      <c r="B44" s="889"/>
      <c r="C44" s="891"/>
      <c r="D44" s="891"/>
      <c r="E44" s="891"/>
      <c r="F44" s="886"/>
      <c r="G44" s="891"/>
      <c r="H44" s="891"/>
      <c r="I44" s="246" t="s">
        <v>44</v>
      </c>
      <c r="J44" s="197" t="s">
        <v>617</v>
      </c>
      <c r="K44" s="197" t="s">
        <v>618</v>
      </c>
      <c r="L44" s="197"/>
      <c r="M44" s="197" t="s">
        <v>619</v>
      </c>
      <c r="N44" s="197" t="s">
        <v>620</v>
      </c>
      <c r="O44" s="197" t="s">
        <v>621</v>
      </c>
      <c r="P44" s="197" t="s">
        <v>621</v>
      </c>
      <c r="Q44" s="246" t="s">
        <v>44</v>
      </c>
      <c r="R44" s="247">
        <f>1090175.4/S2</f>
        <v>62834.679162415909</v>
      </c>
      <c r="S44" s="197" t="s">
        <v>622</v>
      </c>
      <c r="T44" s="250">
        <v>39912</v>
      </c>
      <c r="U44" s="197"/>
      <c r="V44" s="197" t="s">
        <v>633</v>
      </c>
      <c r="W44" s="198">
        <f>V44+365</f>
        <v>40519</v>
      </c>
      <c r="X44" s="249"/>
    </row>
    <row r="45" spans="1:24" x14ac:dyDescent="0.3">
      <c r="A45" s="888"/>
      <c r="B45" s="889"/>
      <c r="C45" s="892"/>
      <c r="D45" s="892"/>
      <c r="E45" s="892"/>
      <c r="F45" s="887"/>
      <c r="G45" s="892"/>
      <c r="H45" s="892"/>
      <c r="I45" s="356"/>
      <c r="J45" s="356"/>
      <c r="K45" s="356"/>
      <c r="L45" s="356"/>
      <c r="M45" s="356"/>
      <c r="N45" s="356"/>
      <c r="O45" s="356"/>
      <c r="P45" s="356"/>
      <c r="Q45" s="356"/>
      <c r="R45" s="357"/>
      <c r="S45" s="356"/>
      <c r="T45" s="356"/>
      <c r="U45" s="356"/>
      <c r="V45" s="356"/>
      <c r="W45" s="356"/>
      <c r="X45" s="358"/>
    </row>
    <row r="46" spans="1:24" x14ac:dyDescent="0.3">
      <c r="A46" s="888" t="s">
        <v>634</v>
      </c>
      <c r="B46" s="889" t="s">
        <v>632</v>
      </c>
      <c r="C46" s="890"/>
      <c r="D46" s="890" t="s">
        <v>93</v>
      </c>
      <c r="E46" s="890" t="s">
        <v>40</v>
      </c>
      <c r="F46" s="885">
        <f>105000</f>
        <v>105000</v>
      </c>
      <c r="G46" s="890" t="s">
        <v>94</v>
      </c>
      <c r="H46" s="890" t="s">
        <v>94</v>
      </c>
      <c r="I46" s="246" t="s">
        <v>43</v>
      </c>
      <c r="J46" s="198">
        <v>39833</v>
      </c>
      <c r="K46" s="198">
        <f>J46+10</f>
        <v>39843</v>
      </c>
      <c r="L46" s="198">
        <f>K46+7</f>
        <v>39850</v>
      </c>
      <c r="M46" s="198">
        <f>L46+7</f>
        <v>39857</v>
      </c>
      <c r="N46" s="198">
        <f>M46+30</f>
        <v>39887</v>
      </c>
      <c r="O46" s="198">
        <f>N46+10</f>
        <v>39897</v>
      </c>
      <c r="P46" s="198">
        <f>O46+10</f>
        <v>39907</v>
      </c>
      <c r="Q46" s="246" t="s">
        <v>43</v>
      </c>
      <c r="R46" s="247"/>
      <c r="S46" s="198">
        <f>P46+5</f>
        <v>39912</v>
      </c>
      <c r="T46" s="198">
        <v>39912</v>
      </c>
      <c r="U46" s="198">
        <f>T46+10</f>
        <v>39922</v>
      </c>
      <c r="V46" s="198">
        <f>U46+420</f>
        <v>40342</v>
      </c>
      <c r="W46" s="198">
        <f>V46+365</f>
        <v>40707</v>
      </c>
      <c r="X46" s="248">
        <f>F46</f>
        <v>105000</v>
      </c>
    </row>
    <row r="47" spans="1:24" x14ac:dyDescent="0.3">
      <c r="A47" s="888"/>
      <c r="B47" s="889"/>
      <c r="C47" s="891"/>
      <c r="D47" s="891"/>
      <c r="E47" s="891"/>
      <c r="F47" s="886"/>
      <c r="G47" s="891"/>
      <c r="H47" s="891"/>
      <c r="I47" s="246" t="s">
        <v>44</v>
      </c>
      <c r="J47" s="197" t="s">
        <v>635</v>
      </c>
      <c r="K47" s="198">
        <v>39858</v>
      </c>
      <c r="L47" s="197"/>
      <c r="M47" s="197" t="s">
        <v>636</v>
      </c>
      <c r="N47" s="197" t="s">
        <v>637</v>
      </c>
      <c r="O47" s="197" t="s">
        <v>638</v>
      </c>
      <c r="P47" s="197" t="s">
        <v>639</v>
      </c>
      <c r="Q47" s="246" t="s">
        <v>44</v>
      </c>
      <c r="R47" s="247">
        <f>1090175.4/S2</f>
        <v>62834.679162415909</v>
      </c>
      <c r="S47" s="197" t="s">
        <v>640</v>
      </c>
      <c r="T47" s="250">
        <v>39912</v>
      </c>
      <c r="U47" s="197"/>
      <c r="V47" s="197" t="s">
        <v>633</v>
      </c>
      <c r="W47" s="198">
        <f>V47+365</f>
        <v>40519</v>
      </c>
      <c r="X47" s="249"/>
    </row>
    <row r="48" spans="1:24" x14ac:dyDescent="0.3">
      <c r="A48" s="888"/>
      <c r="B48" s="889"/>
      <c r="C48" s="892"/>
      <c r="D48" s="892"/>
      <c r="E48" s="892"/>
      <c r="F48" s="887"/>
      <c r="G48" s="892"/>
      <c r="H48" s="892"/>
      <c r="I48" s="356"/>
      <c r="J48" s="356"/>
      <c r="K48" s="356"/>
      <c r="L48" s="356"/>
      <c r="M48" s="356"/>
      <c r="N48" s="356"/>
      <c r="O48" s="356"/>
      <c r="P48" s="356"/>
      <c r="Q48" s="356"/>
      <c r="R48" s="357"/>
      <c r="S48" s="356"/>
      <c r="T48" s="356"/>
      <c r="U48" s="356"/>
      <c r="V48" s="356"/>
      <c r="W48" s="356"/>
      <c r="X48" s="358"/>
    </row>
    <row r="49" spans="1:24" x14ac:dyDescent="0.3">
      <c r="A49" s="888" t="s">
        <v>641</v>
      </c>
      <c r="B49" s="889" t="s">
        <v>642</v>
      </c>
      <c r="C49" s="890"/>
      <c r="D49" s="890" t="s">
        <v>93</v>
      </c>
      <c r="E49" s="890" t="s">
        <v>40</v>
      </c>
      <c r="F49" s="885">
        <f>105000</f>
        <v>105000</v>
      </c>
      <c r="G49" s="890" t="s">
        <v>94</v>
      </c>
      <c r="H49" s="890" t="s">
        <v>94</v>
      </c>
      <c r="I49" s="246" t="s">
        <v>43</v>
      </c>
      <c r="J49" s="198">
        <v>39892</v>
      </c>
      <c r="K49" s="198">
        <f>J49+10</f>
        <v>39902</v>
      </c>
      <c r="L49" s="198">
        <f>K49+7</f>
        <v>39909</v>
      </c>
      <c r="M49" s="198">
        <f>L49+7</f>
        <v>39916</v>
      </c>
      <c r="N49" s="198">
        <f>M49+30</f>
        <v>39946</v>
      </c>
      <c r="O49" s="198">
        <f>N49+10</f>
        <v>39956</v>
      </c>
      <c r="P49" s="198">
        <f>O49+10</f>
        <v>39966</v>
      </c>
      <c r="Q49" s="246" t="s">
        <v>43</v>
      </c>
      <c r="R49" s="247"/>
      <c r="S49" s="198">
        <f>P49+5</f>
        <v>39971</v>
      </c>
      <c r="T49" s="198">
        <v>39965</v>
      </c>
      <c r="U49" s="198">
        <f>T50+10</f>
        <v>40060</v>
      </c>
      <c r="V49" s="198">
        <f>U49+420</f>
        <v>40480</v>
      </c>
      <c r="W49" s="198">
        <f>V49+365</f>
        <v>40845</v>
      </c>
      <c r="X49" s="248">
        <f>F49</f>
        <v>105000</v>
      </c>
    </row>
    <row r="50" spans="1:24" x14ac:dyDescent="0.25">
      <c r="A50" s="888"/>
      <c r="B50" s="889"/>
      <c r="C50" s="891"/>
      <c r="D50" s="891"/>
      <c r="E50" s="891"/>
      <c r="F50" s="886"/>
      <c r="G50" s="891"/>
      <c r="H50" s="891"/>
      <c r="I50" s="246" t="s">
        <v>44</v>
      </c>
      <c r="J50" s="197" t="s">
        <v>617</v>
      </c>
      <c r="K50" s="197" t="s">
        <v>618</v>
      </c>
      <c r="L50" s="197"/>
      <c r="M50" s="197" t="s">
        <v>619</v>
      </c>
      <c r="N50" s="197" t="s">
        <v>620</v>
      </c>
      <c r="O50" s="197" t="s">
        <v>621</v>
      </c>
      <c r="P50" s="197" t="s">
        <v>621</v>
      </c>
      <c r="Q50" s="246" t="s">
        <v>44</v>
      </c>
      <c r="R50" s="247">
        <f>543401.28/S2</f>
        <v>31320.139020974184</v>
      </c>
      <c r="S50" s="197" t="s">
        <v>629</v>
      </c>
      <c r="T50" s="251">
        <v>40050</v>
      </c>
      <c r="U50" s="197"/>
      <c r="V50" s="197" t="s">
        <v>643</v>
      </c>
      <c r="W50" s="198">
        <f>V50+365</f>
        <v>40840</v>
      </c>
      <c r="X50" s="249"/>
    </row>
    <row r="51" spans="1:24" x14ac:dyDescent="0.3">
      <c r="A51" s="888"/>
      <c r="B51" s="889"/>
      <c r="C51" s="892"/>
      <c r="D51" s="892"/>
      <c r="E51" s="892"/>
      <c r="F51" s="887"/>
      <c r="G51" s="892"/>
      <c r="H51" s="892"/>
      <c r="I51" s="356"/>
      <c r="J51" s="356"/>
      <c r="K51" s="356"/>
      <c r="L51" s="356"/>
      <c r="M51" s="356"/>
      <c r="N51" s="356"/>
      <c r="O51" s="356"/>
      <c r="P51" s="356"/>
      <c r="Q51" s="356"/>
      <c r="R51" s="357"/>
      <c r="S51" s="356"/>
      <c r="T51" s="356"/>
      <c r="U51" s="356"/>
      <c r="V51" s="356"/>
      <c r="W51" s="356"/>
      <c r="X51" s="358"/>
    </row>
    <row r="52" spans="1:24" x14ac:dyDescent="0.3">
      <c r="A52" s="888" t="s">
        <v>644</v>
      </c>
      <c r="B52" s="889" t="s">
        <v>645</v>
      </c>
      <c r="C52" s="890"/>
      <c r="D52" s="890" t="s">
        <v>93</v>
      </c>
      <c r="E52" s="890" t="s">
        <v>40</v>
      </c>
      <c r="F52" s="885">
        <f>630000/S2</f>
        <v>36311.44848097107</v>
      </c>
      <c r="G52" s="890" t="s">
        <v>94</v>
      </c>
      <c r="H52" s="890" t="s">
        <v>94</v>
      </c>
      <c r="I52" s="246" t="s">
        <v>43</v>
      </c>
      <c r="J52" s="198">
        <v>39892</v>
      </c>
      <c r="K52" s="198">
        <f>J52+10</f>
        <v>39902</v>
      </c>
      <c r="L52" s="198">
        <f>K52+7</f>
        <v>39909</v>
      </c>
      <c r="M52" s="198">
        <f>L52+7</f>
        <v>39916</v>
      </c>
      <c r="N52" s="198">
        <f>M52+30</f>
        <v>39946</v>
      </c>
      <c r="O52" s="198">
        <f>N52+10</f>
        <v>39956</v>
      </c>
      <c r="P52" s="198">
        <f>O52+10</f>
        <v>39966</v>
      </c>
      <c r="Q52" s="246" t="s">
        <v>43</v>
      </c>
      <c r="R52" s="247"/>
      <c r="S52" s="198">
        <f>P52+5</f>
        <v>39971</v>
      </c>
      <c r="T52" s="198">
        <f>S52+5</f>
        <v>39976</v>
      </c>
      <c r="U52" s="198">
        <f>T52+10</f>
        <v>39986</v>
      </c>
      <c r="V52" s="198">
        <f>U52+420</f>
        <v>40406</v>
      </c>
      <c r="W52" s="198">
        <f>V52+365</f>
        <v>40771</v>
      </c>
      <c r="X52" s="248">
        <f>F52</f>
        <v>36311.44848097107</v>
      </c>
    </row>
    <row r="53" spans="1:24" x14ac:dyDescent="0.25">
      <c r="A53" s="888"/>
      <c r="B53" s="889"/>
      <c r="C53" s="891"/>
      <c r="D53" s="891"/>
      <c r="E53" s="891"/>
      <c r="F53" s="886"/>
      <c r="G53" s="891"/>
      <c r="H53" s="891"/>
      <c r="I53" s="246" t="s">
        <v>44</v>
      </c>
      <c r="J53" s="197" t="s">
        <v>617</v>
      </c>
      <c r="K53" s="197" t="s">
        <v>618</v>
      </c>
      <c r="L53" s="197"/>
      <c r="M53" s="197" t="s">
        <v>619</v>
      </c>
      <c r="N53" s="197" t="s">
        <v>620</v>
      </c>
      <c r="O53" s="197" t="s">
        <v>621</v>
      </c>
      <c r="P53" s="197" t="s">
        <v>621</v>
      </c>
      <c r="Q53" s="246" t="s">
        <v>44</v>
      </c>
      <c r="R53" s="247">
        <f>733579.27/S2</f>
        <v>42281.46963383074</v>
      </c>
      <c r="S53" s="197" t="s">
        <v>629</v>
      </c>
      <c r="T53" s="251">
        <v>40053</v>
      </c>
      <c r="U53" s="197"/>
      <c r="V53" s="197" t="s">
        <v>646</v>
      </c>
      <c r="W53" s="198">
        <f>V53+365</f>
        <v>40828</v>
      </c>
      <c r="X53" s="249"/>
    </row>
    <row r="54" spans="1:24" x14ac:dyDescent="0.3">
      <c r="A54" s="888"/>
      <c r="B54" s="889"/>
      <c r="C54" s="892"/>
      <c r="D54" s="892"/>
      <c r="E54" s="892"/>
      <c r="F54" s="887"/>
      <c r="G54" s="892"/>
      <c r="H54" s="892"/>
      <c r="I54" s="356"/>
      <c r="J54" s="356"/>
      <c r="K54" s="356"/>
      <c r="L54" s="356"/>
      <c r="M54" s="356"/>
      <c r="N54" s="356"/>
      <c r="O54" s="356"/>
      <c r="P54" s="356"/>
      <c r="Q54" s="356"/>
      <c r="R54" s="357"/>
      <c r="S54" s="356"/>
      <c r="T54" s="356"/>
      <c r="U54" s="356"/>
      <c r="V54" s="356"/>
      <c r="W54" s="356"/>
      <c r="X54" s="358"/>
    </row>
    <row r="55" spans="1:24" x14ac:dyDescent="0.3">
      <c r="A55" s="888" t="s">
        <v>647</v>
      </c>
      <c r="B55" s="889" t="s">
        <v>648</v>
      </c>
      <c r="C55" s="890"/>
      <c r="D55" s="890" t="s">
        <v>93</v>
      </c>
      <c r="E55" s="890" t="s">
        <v>40</v>
      </c>
      <c r="F55" s="885">
        <f>825000/S2</f>
        <v>47550.706344128783</v>
      </c>
      <c r="G55" s="890" t="s">
        <v>94</v>
      </c>
      <c r="H55" s="890" t="s">
        <v>94</v>
      </c>
      <c r="I55" s="246" t="s">
        <v>43</v>
      </c>
      <c r="J55" s="198">
        <v>39892</v>
      </c>
      <c r="K55" s="198">
        <f>J55+10</f>
        <v>39902</v>
      </c>
      <c r="L55" s="198">
        <f>K55+7</f>
        <v>39909</v>
      </c>
      <c r="M55" s="198">
        <f>L55+7</f>
        <v>39916</v>
      </c>
      <c r="N55" s="198">
        <f>M55+30</f>
        <v>39946</v>
      </c>
      <c r="O55" s="198">
        <f>N55+10</f>
        <v>39956</v>
      </c>
      <c r="P55" s="198">
        <f>O55+10</f>
        <v>39966</v>
      </c>
      <c r="Q55" s="246" t="s">
        <v>43</v>
      </c>
      <c r="R55" s="247"/>
      <c r="S55" s="198">
        <f>P55+5</f>
        <v>39971</v>
      </c>
      <c r="T55" s="198">
        <v>39965</v>
      </c>
      <c r="U55" s="198">
        <f>T56+10</f>
        <v>40046</v>
      </c>
      <c r="V55" s="198">
        <f>U55+420</f>
        <v>40466</v>
      </c>
      <c r="W55" s="198">
        <f>V55+365</f>
        <v>40831</v>
      </c>
      <c r="X55" s="248">
        <f>F55</f>
        <v>47550.706344128783</v>
      </c>
    </row>
    <row r="56" spans="1:24" x14ac:dyDescent="0.25">
      <c r="A56" s="888"/>
      <c r="B56" s="889"/>
      <c r="C56" s="891"/>
      <c r="D56" s="891"/>
      <c r="E56" s="891"/>
      <c r="F56" s="886"/>
      <c r="G56" s="891"/>
      <c r="H56" s="891"/>
      <c r="I56" s="246" t="s">
        <v>44</v>
      </c>
      <c r="J56" s="197" t="s">
        <v>649</v>
      </c>
      <c r="K56" s="198" t="s">
        <v>650</v>
      </c>
      <c r="L56" s="197"/>
      <c r="M56" s="197" t="s">
        <v>651</v>
      </c>
      <c r="N56" s="197" t="s">
        <v>652</v>
      </c>
      <c r="O56" s="197" t="s">
        <v>653</v>
      </c>
      <c r="P56" s="197" t="s">
        <v>654</v>
      </c>
      <c r="Q56" s="246" t="s">
        <v>44</v>
      </c>
      <c r="R56" s="247">
        <f>1337829.94/S2</f>
        <v>77108.798321604147</v>
      </c>
      <c r="S56" s="197" t="s">
        <v>629</v>
      </c>
      <c r="T56" s="251">
        <v>40036</v>
      </c>
      <c r="U56" s="197"/>
      <c r="V56" s="197" t="s">
        <v>655</v>
      </c>
      <c r="W56" s="198">
        <f>V56+365</f>
        <v>40808</v>
      </c>
      <c r="X56" s="249"/>
    </row>
    <row r="57" spans="1:24" x14ac:dyDescent="0.3">
      <c r="A57" s="888"/>
      <c r="B57" s="889"/>
      <c r="C57" s="892"/>
      <c r="D57" s="892"/>
      <c r="E57" s="892"/>
      <c r="F57" s="887"/>
      <c r="G57" s="892"/>
      <c r="H57" s="892"/>
      <c r="I57" s="356"/>
      <c r="J57" s="356"/>
      <c r="K57" s="356"/>
      <c r="L57" s="356"/>
      <c r="M57" s="356"/>
      <c r="N57" s="356"/>
      <c r="O57" s="356"/>
      <c r="P57" s="356"/>
      <c r="Q57" s="356"/>
      <c r="R57" s="357"/>
      <c r="S57" s="356"/>
      <c r="T57" s="356"/>
      <c r="U57" s="356"/>
      <c r="V57" s="356"/>
      <c r="W57" s="356"/>
      <c r="X57" s="358"/>
    </row>
    <row r="58" spans="1:24" x14ac:dyDescent="0.3">
      <c r="A58" s="888" t="s">
        <v>656</v>
      </c>
      <c r="B58" s="889" t="s">
        <v>616</v>
      </c>
      <c r="C58" s="890"/>
      <c r="D58" s="890" t="s">
        <v>93</v>
      </c>
      <c r="E58" s="890" t="s">
        <v>40</v>
      </c>
      <c r="F58" s="885">
        <f>1316000/S2</f>
        <v>75850.581271361792</v>
      </c>
      <c r="G58" s="890" t="s">
        <v>94</v>
      </c>
      <c r="H58" s="890" t="s">
        <v>94</v>
      </c>
      <c r="I58" s="246" t="s">
        <v>43</v>
      </c>
      <c r="J58" s="198">
        <v>39904</v>
      </c>
      <c r="K58" s="198">
        <f>J58+10</f>
        <v>39914</v>
      </c>
      <c r="L58" s="198">
        <f>K58+7</f>
        <v>39921</v>
      </c>
      <c r="M58" s="198">
        <f>L58+7</f>
        <v>39928</v>
      </c>
      <c r="N58" s="198">
        <f>M58+30</f>
        <v>39958</v>
      </c>
      <c r="O58" s="198">
        <f>N58+10</f>
        <v>39968</v>
      </c>
      <c r="P58" s="198">
        <f>O58+10</f>
        <v>39978</v>
      </c>
      <c r="Q58" s="246" t="s">
        <v>43</v>
      </c>
      <c r="R58" s="247"/>
      <c r="S58" s="198">
        <f>P58+5</f>
        <v>39983</v>
      </c>
      <c r="T58" s="198">
        <v>40045</v>
      </c>
      <c r="U58" s="198">
        <f>T58+10</f>
        <v>40055</v>
      </c>
      <c r="V58" s="198">
        <f>U58+180</f>
        <v>40235</v>
      </c>
      <c r="W58" s="198">
        <f>V58+365</f>
        <v>40600</v>
      </c>
      <c r="X58" s="248">
        <f>F58</f>
        <v>75850.581271361792</v>
      </c>
    </row>
    <row r="59" spans="1:24" x14ac:dyDescent="0.25">
      <c r="A59" s="888"/>
      <c r="B59" s="889"/>
      <c r="C59" s="891"/>
      <c r="D59" s="891"/>
      <c r="E59" s="891"/>
      <c r="F59" s="886"/>
      <c r="G59" s="891"/>
      <c r="H59" s="891"/>
      <c r="I59" s="246" t="s">
        <v>44</v>
      </c>
      <c r="J59" s="197" t="s">
        <v>649</v>
      </c>
      <c r="K59" s="198" t="s">
        <v>650</v>
      </c>
      <c r="L59" s="197"/>
      <c r="M59" s="197" t="s">
        <v>651</v>
      </c>
      <c r="N59" s="197" t="s">
        <v>652</v>
      </c>
      <c r="O59" s="197" t="s">
        <v>653</v>
      </c>
      <c r="P59" s="197" t="s">
        <v>654</v>
      </c>
      <c r="Q59" s="246" t="s">
        <v>44</v>
      </c>
      <c r="R59" s="247">
        <f>642054.11/S2</f>
        <v>37006.21386866783</v>
      </c>
      <c r="S59" s="197" t="s">
        <v>629</v>
      </c>
      <c r="T59" s="251">
        <v>40045</v>
      </c>
      <c r="U59" s="197"/>
      <c r="V59" s="197" t="s">
        <v>657</v>
      </c>
      <c r="W59" s="198">
        <f>V59+365</f>
        <v>40886</v>
      </c>
      <c r="X59" s="248"/>
    </row>
    <row r="60" spans="1:24" x14ac:dyDescent="0.3">
      <c r="A60" s="888"/>
      <c r="B60" s="889"/>
      <c r="C60" s="892"/>
      <c r="D60" s="892"/>
      <c r="E60" s="892"/>
      <c r="F60" s="887"/>
      <c r="G60" s="892"/>
      <c r="H60" s="892"/>
      <c r="I60" s="356"/>
      <c r="J60" s="356"/>
      <c r="K60" s="356"/>
      <c r="L60" s="356"/>
      <c r="M60" s="356"/>
      <c r="N60" s="356"/>
      <c r="O60" s="356"/>
      <c r="P60" s="356"/>
      <c r="Q60" s="356"/>
      <c r="R60" s="357"/>
      <c r="S60" s="356"/>
      <c r="T60" s="356"/>
      <c r="U60" s="356"/>
      <c r="V60" s="356"/>
      <c r="W60" s="356"/>
      <c r="X60" s="358"/>
    </row>
    <row r="61" spans="1:24" x14ac:dyDescent="0.3">
      <c r="A61" s="366" t="s">
        <v>658</v>
      </c>
      <c r="B61" s="367"/>
      <c r="C61" s="367"/>
      <c r="D61" s="367"/>
      <c r="E61" s="367"/>
      <c r="F61" s="368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8"/>
      <c r="S61" s="367"/>
      <c r="T61" s="367"/>
      <c r="U61" s="367"/>
      <c r="V61" s="367"/>
      <c r="W61" s="367"/>
      <c r="X61" s="369"/>
    </row>
    <row r="62" spans="1:24" x14ac:dyDescent="0.3">
      <c r="A62" s="888" t="s">
        <v>659</v>
      </c>
      <c r="B62" s="889" t="s">
        <v>660</v>
      </c>
      <c r="C62" s="890"/>
      <c r="D62" s="890" t="s">
        <v>93</v>
      </c>
      <c r="E62" s="890" t="s">
        <v>40</v>
      </c>
      <c r="F62" s="885">
        <f>6409838.328/S2</f>
        <v>369445.26066432655</v>
      </c>
      <c r="G62" s="890" t="s">
        <v>94</v>
      </c>
      <c r="H62" s="890" t="s">
        <v>94</v>
      </c>
      <c r="I62" s="246" t="s">
        <v>43</v>
      </c>
      <c r="J62" s="198">
        <v>40599</v>
      </c>
      <c r="K62" s="198">
        <f>J62+3</f>
        <v>40602</v>
      </c>
      <c r="L62" s="198">
        <f>K62+7</f>
        <v>40609</v>
      </c>
      <c r="M62" s="198">
        <f>L62+7</f>
        <v>40616</v>
      </c>
      <c r="N62" s="198">
        <f>M62+30</f>
        <v>40646</v>
      </c>
      <c r="O62" s="198">
        <f>N62+10</f>
        <v>40656</v>
      </c>
      <c r="P62" s="198">
        <f>O62+4</f>
        <v>40660</v>
      </c>
      <c r="Q62" s="246" t="s">
        <v>43</v>
      </c>
      <c r="R62" s="247"/>
      <c r="S62" s="198">
        <f>P62+5</f>
        <v>40665</v>
      </c>
      <c r="T62" s="198">
        <f>S62+5</f>
        <v>40670</v>
      </c>
      <c r="U62" s="198">
        <f>T63+10</f>
        <v>40734</v>
      </c>
      <c r="V62" s="198">
        <f>U62+195</f>
        <v>40929</v>
      </c>
      <c r="W62" s="198">
        <f>V62+180</f>
        <v>41109</v>
      </c>
      <c r="X62" s="248">
        <f>F62</f>
        <v>369445.26066432655</v>
      </c>
    </row>
    <row r="63" spans="1:24" x14ac:dyDescent="0.3">
      <c r="A63" s="888"/>
      <c r="B63" s="889"/>
      <c r="C63" s="891"/>
      <c r="D63" s="891"/>
      <c r="E63" s="891"/>
      <c r="F63" s="886"/>
      <c r="G63" s="891"/>
      <c r="H63" s="891"/>
      <c r="I63" s="246" t="s">
        <v>44</v>
      </c>
      <c r="J63" s="197" t="s">
        <v>604</v>
      </c>
      <c r="K63" s="197" t="s">
        <v>605</v>
      </c>
      <c r="L63" s="197"/>
      <c r="M63" s="197" t="s">
        <v>661</v>
      </c>
      <c r="N63" s="197" t="s">
        <v>662</v>
      </c>
      <c r="O63" s="197" t="s">
        <v>161</v>
      </c>
      <c r="P63" s="197" t="s">
        <v>663</v>
      </c>
      <c r="Q63" s="246" t="s">
        <v>44</v>
      </c>
      <c r="R63" s="247">
        <f>3416511.56/S2</f>
        <v>196918.22777076522</v>
      </c>
      <c r="S63" s="197" t="s">
        <v>664</v>
      </c>
      <c r="T63" s="197" t="s">
        <v>123</v>
      </c>
      <c r="U63" s="252">
        <f>T63+10</f>
        <v>40734</v>
      </c>
      <c r="V63" s="252">
        <f>U63+195</f>
        <v>40929</v>
      </c>
      <c r="W63" s="252">
        <f>V63+180</f>
        <v>41109</v>
      </c>
      <c r="X63" s="249"/>
    </row>
    <row r="64" spans="1:24" x14ac:dyDescent="0.3">
      <c r="A64" s="888"/>
      <c r="B64" s="889"/>
      <c r="C64" s="892"/>
      <c r="D64" s="892"/>
      <c r="E64" s="892"/>
      <c r="F64" s="887"/>
      <c r="G64" s="892"/>
      <c r="H64" s="892"/>
      <c r="I64" s="356"/>
      <c r="J64" s="356"/>
      <c r="K64" s="356"/>
      <c r="L64" s="356"/>
      <c r="M64" s="356"/>
      <c r="N64" s="356"/>
      <c r="O64" s="356"/>
      <c r="P64" s="356"/>
      <c r="Q64" s="356"/>
      <c r="R64" s="357"/>
      <c r="S64" s="356"/>
      <c r="T64" s="356"/>
      <c r="U64" s="356"/>
      <c r="V64" s="356"/>
      <c r="W64" s="356"/>
      <c r="X64" s="358"/>
    </row>
    <row r="65" spans="1:24" x14ac:dyDescent="0.3">
      <c r="A65" s="888" t="s">
        <v>665</v>
      </c>
      <c r="B65" s="889" t="s">
        <v>666</v>
      </c>
      <c r="C65" s="890"/>
      <c r="D65" s="890" t="s">
        <v>93</v>
      </c>
      <c r="E65" s="890" t="s">
        <v>40</v>
      </c>
      <c r="F65" s="885">
        <f>5559343.138/S2</f>
        <v>320425.08245004294</v>
      </c>
      <c r="G65" s="890" t="s">
        <v>94</v>
      </c>
      <c r="H65" s="890" t="s">
        <v>94</v>
      </c>
      <c r="I65" s="246" t="s">
        <v>43</v>
      </c>
      <c r="J65" s="198">
        <v>40599</v>
      </c>
      <c r="K65" s="198">
        <f>J65+3</f>
        <v>40602</v>
      </c>
      <c r="L65" s="198">
        <f>K65+7</f>
        <v>40609</v>
      </c>
      <c r="M65" s="198">
        <f>L65+7</f>
        <v>40616</v>
      </c>
      <c r="N65" s="198">
        <f>M65+30</f>
        <v>40646</v>
      </c>
      <c r="O65" s="198">
        <f>N65+10</f>
        <v>40656</v>
      </c>
      <c r="P65" s="198">
        <f>O65+4</f>
        <v>40660</v>
      </c>
      <c r="Q65" s="246" t="s">
        <v>43</v>
      </c>
      <c r="R65" s="247"/>
      <c r="S65" s="198">
        <f>P65+5</f>
        <v>40665</v>
      </c>
      <c r="T65" s="198">
        <f>S65+5</f>
        <v>40670</v>
      </c>
      <c r="U65" s="198">
        <f>T66+10</f>
        <v>40734</v>
      </c>
      <c r="V65" s="198">
        <f>U65+195</f>
        <v>40929</v>
      </c>
      <c r="W65" s="198">
        <f>V65+180</f>
        <v>41109</v>
      </c>
      <c r="X65" s="248">
        <f>F65</f>
        <v>320425.08245004294</v>
      </c>
    </row>
    <row r="66" spans="1:24" x14ac:dyDescent="0.3">
      <c r="A66" s="888"/>
      <c r="B66" s="889"/>
      <c r="C66" s="891"/>
      <c r="D66" s="891"/>
      <c r="E66" s="891"/>
      <c r="F66" s="886"/>
      <c r="G66" s="891"/>
      <c r="H66" s="891"/>
      <c r="I66" s="246" t="s">
        <v>44</v>
      </c>
      <c r="J66" s="197" t="s">
        <v>604</v>
      </c>
      <c r="K66" s="197" t="s">
        <v>605</v>
      </c>
      <c r="L66" s="197"/>
      <c r="M66" s="197" t="s">
        <v>661</v>
      </c>
      <c r="N66" s="197" t="s">
        <v>662</v>
      </c>
      <c r="O66" s="197" t="s">
        <v>161</v>
      </c>
      <c r="P66" s="197" t="s">
        <v>663</v>
      </c>
      <c r="Q66" s="246" t="s">
        <v>44</v>
      </c>
      <c r="R66" s="247">
        <f>2580075.03/S2</f>
        <v>148708.3516331506</v>
      </c>
      <c r="S66" s="197" t="s">
        <v>664</v>
      </c>
      <c r="T66" s="197" t="s">
        <v>123</v>
      </c>
      <c r="U66" s="252">
        <f>T66+10</f>
        <v>40734</v>
      </c>
      <c r="V66" s="252">
        <f>U66+195</f>
        <v>40929</v>
      </c>
      <c r="W66" s="252">
        <f>V66+180</f>
        <v>41109</v>
      </c>
      <c r="X66" s="249"/>
    </row>
    <row r="67" spans="1:24" x14ac:dyDescent="0.3">
      <c r="A67" s="888"/>
      <c r="B67" s="889"/>
      <c r="C67" s="892"/>
      <c r="D67" s="892"/>
      <c r="E67" s="892"/>
      <c r="F67" s="887"/>
      <c r="G67" s="892"/>
      <c r="H67" s="892"/>
      <c r="I67" s="356"/>
      <c r="J67" s="356"/>
      <c r="K67" s="356"/>
      <c r="L67" s="356"/>
      <c r="M67" s="356"/>
      <c r="N67" s="356"/>
      <c r="O67" s="356"/>
      <c r="P67" s="356"/>
      <c r="Q67" s="356"/>
      <c r="R67" s="357"/>
      <c r="S67" s="356"/>
      <c r="T67" s="356"/>
      <c r="U67" s="356"/>
      <c r="V67" s="356"/>
      <c r="W67" s="356"/>
      <c r="X67" s="358"/>
    </row>
    <row r="68" spans="1:24" x14ac:dyDescent="0.3">
      <c r="A68" s="888" t="s">
        <v>667</v>
      </c>
      <c r="B68" s="889" t="s">
        <v>668</v>
      </c>
      <c r="C68" s="890"/>
      <c r="D68" s="890" t="s">
        <v>93</v>
      </c>
      <c r="E68" s="890" t="s">
        <v>40</v>
      </c>
      <c r="F68" s="885">
        <f>5700000/S2</f>
        <v>328532.15292307158</v>
      </c>
      <c r="G68" s="890" t="s">
        <v>94</v>
      </c>
      <c r="H68" s="890" t="s">
        <v>94</v>
      </c>
      <c r="I68" s="246" t="s">
        <v>43</v>
      </c>
      <c r="J68" s="198">
        <v>40612</v>
      </c>
      <c r="K68" s="198">
        <f>J68+3</f>
        <v>40615</v>
      </c>
      <c r="L68" s="198">
        <f>K68+7</f>
        <v>40622</v>
      </c>
      <c r="M68" s="198">
        <f>L68+7</f>
        <v>40629</v>
      </c>
      <c r="N68" s="198">
        <f>M68+30</f>
        <v>40659</v>
      </c>
      <c r="O68" s="198">
        <f>N68+10</f>
        <v>40669</v>
      </c>
      <c r="P68" s="198">
        <f>O68+4</f>
        <v>40673</v>
      </c>
      <c r="Q68" s="246" t="s">
        <v>43</v>
      </c>
      <c r="R68" s="247"/>
      <c r="S68" s="198">
        <f>P68+5</f>
        <v>40678</v>
      </c>
      <c r="T68" s="198">
        <f>S68+5</f>
        <v>40683</v>
      </c>
      <c r="U68" s="198">
        <f>T69+10</f>
        <v>40760</v>
      </c>
      <c r="V68" s="198">
        <f>U68+195</f>
        <v>40955</v>
      </c>
      <c r="W68" s="198">
        <f>V68+180</f>
        <v>41135</v>
      </c>
      <c r="X68" s="248">
        <f>F68</f>
        <v>328532.15292307158</v>
      </c>
    </row>
    <row r="69" spans="1:24" x14ac:dyDescent="0.3">
      <c r="A69" s="888"/>
      <c r="B69" s="889"/>
      <c r="C69" s="891"/>
      <c r="D69" s="891"/>
      <c r="E69" s="891"/>
      <c r="F69" s="886"/>
      <c r="G69" s="891"/>
      <c r="H69" s="891"/>
      <c r="I69" s="246" t="s">
        <v>44</v>
      </c>
      <c r="J69" s="197" t="s">
        <v>604</v>
      </c>
      <c r="K69" s="197" t="s">
        <v>605</v>
      </c>
      <c r="L69" s="197"/>
      <c r="M69" s="197" t="s">
        <v>661</v>
      </c>
      <c r="N69" s="197" t="s">
        <v>662</v>
      </c>
      <c r="O69" s="197" t="s">
        <v>161</v>
      </c>
      <c r="P69" s="197" t="s">
        <v>663</v>
      </c>
      <c r="Q69" s="246" t="s">
        <v>44</v>
      </c>
      <c r="R69" s="247">
        <f>5357519.16/S2</f>
        <v>308792.50946691335</v>
      </c>
      <c r="S69" s="197" t="s">
        <v>669</v>
      </c>
      <c r="T69" s="197" t="s">
        <v>670</v>
      </c>
      <c r="U69" s="252">
        <f>T69+10</f>
        <v>40760</v>
      </c>
      <c r="V69" s="252">
        <f>U69+195</f>
        <v>40955</v>
      </c>
      <c r="W69" s="252">
        <f>V69+180</f>
        <v>41135</v>
      </c>
      <c r="X69" s="249"/>
    </row>
    <row r="70" spans="1:24" x14ac:dyDescent="0.3">
      <c r="A70" s="888"/>
      <c r="B70" s="889"/>
      <c r="C70" s="892"/>
      <c r="D70" s="892"/>
      <c r="E70" s="892"/>
      <c r="F70" s="887"/>
      <c r="G70" s="892"/>
      <c r="H70" s="892"/>
      <c r="I70" s="356"/>
      <c r="J70" s="356"/>
      <c r="K70" s="356"/>
      <c r="L70" s="356"/>
      <c r="M70" s="356"/>
      <c r="N70" s="356"/>
      <c r="O70" s="356"/>
      <c r="P70" s="356"/>
      <c r="Q70" s="356"/>
      <c r="R70" s="357"/>
      <c r="S70" s="356"/>
      <c r="T70" s="356"/>
      <c r="U70" s="356"/>
      <c r="V70" s="356"/>
      <c r="W70" s="356"/>
      <c r="X70" s="358"/>
    </row>
    <row r="71" spans="1:24" x14ac:dyDescent="0.3">
      <c r="A71" s="888" t="s">
        <v>671</v>
      </c>
      <c r="B71" s="889" t="s">
        <v>672</v>
      </c>
      <c r="C71" s="890"/>
      <c r="D71" s="890" t="s">
        <v>93</v>
      </c>
      <c r="E71" s="890" t="s">
        <v>40</v>
      </c>
      <c r="F71" s="885">
        <f>7237811.86/S2</f>
        <v>417167.35312595457</v>
      </c>
      <c r="G71" s="890" t="s">
        <v>94</v>
      </c>
      <c r="H71" s="890" t="s">
        <v>94</v>
      </c>
      <c r="I71" s="246" t="s">
        <v>43</v>
      </c>
      <c r="J71" s="198">
        <v>40452</v>
      </c>
      <c r="K71" s="198">
        <f>J71+3</f>
        <v>40455</v>
      </c>
      <c r="L71" s="198">
        <f>K71+7</f>
        <v>40462</v>
      </c>
      <c r="M71" s="198">
        <f>L71+7</f>
        <v>40469</v>
      </c>
      <c r="N71" s="198">
        <f>M71+30</f>
        <v>40499</v>
      </c>
      <c r="O71" s="198">
        <f>N71+10</f>
        <v>40509</v>
      </c>
      <c r="P71" s="198">
        <f>O71+4</f>
        <v>40513</v>
      </c>
      <c r="Q71" s="246" t="s">
        <v>43</v>
      </c>
      <c r="R71" s="247"/>
      <c r="S71" s="198">
        <f>P71+5</f>
        <v>40518</v>
      </c>
      <c r="T71" s="198">
        <f>S71+5</f>
        <v>40523</v>
      </c>
      <c r="U71" s="198">
        <f>T72+10</f>
        <v>40725</v>
      </c>
      <c r="V71" s="198">
        <f>U71+195</f>
        <v>40920</v>
      </c>
      <c r="W71" s="198">
        <f>V71+180</f>
        <v>41100</v>
      </c>
      <c r="X71" s="248">
        <f>F71</f>
        <v>417167.35312595457</v>
      </c>
    </row>
    <row r="72" spans="1:24" x14ac:dyDescent="0.3">
      <c r="A72" s="888"/>
      <c r="B72" s="889"/>
      <c r="C72" s="891"/>
      <c r="D72" s="891"/>
      <c r="E72" s="891"/>
      <c r="F72" s="886"/>
      <c r="G72" s="891"/>
      <c r="H72" s="891"/>
      <c r="I72" s="246" t="s">
        <v>44</v>
      </c>
      <c r="J72" s="197" t="s">
        <v>604</v>
      </c>
      <c r="K72" s="197" t="s">
        <v>605</v>
      </c>
      <c r="L72" s="197"/>
      <c r="M72" s="197" t="s">
        <v>661</v>
      </c>
      <c r="N72" s="197" t="s">
        <v>662</v>
      </c>
      <c r="O72" s="197" t="s">
        <v>161</v>
      </c>
      <c r="P72" s="197" t="s">
        <v>663</v>
      </c>
      <c r="Q72" s="246" t="s">
        <v>44</v>
      </c>
      <c r="R72" s="247">
        <f>5185552.2/S2</f>
        <v>298880.81199315266</v>
      </c>
      <c r="S72" s="197" t="s">
        <v>673</v>
      </c>
      <c r="T72" s="197" t="s">
        <v>674</v>
      </c>
      <c r="U72" s="252">
        <f>T72+10</f>
        <v>40725</v>
      </c>
      <c r="V72" s="252">
        <f>U72+195</f>
        <v>40920</v>
      </c>
      <c r="W72" s="252">
        <f>V72+180</f>
        <v>41100</v>
      </c>
      <c r="X72" s="249"/>
    </row>
    <row r="73" spans="1:24" x14ac:dyDescent="0.3">
      <c r="A73" s="888"/>
      <c r="B73" s="889"/>
      <c r="C73" s="892"/>
      <c r="D73" s="892"/>
      <c r="E73" s="892"/>
      <c r="F73" s="887"/>
      <c r="G73" s="892"/>
      <c r="H73" s="892"/>
      <c r="I73" s="356"/>
      <c r="J73" s="356"/>
      <c r="K73" s="356"/>
      <c r="L73" s="356"/>
      <c r="M73" s="356"/>
      <c r="N73" s="356"/>
      <c r="O73" s="356"/>
      <c r="P73" s="356"/>
      <c r="Q73" s="356"/>
      <c r="R73" s="357"/>
      <c r="S73" s="356"/>
      <c r="T73" s="356"/>
      <c r="U73" s="356"/>
      <c r="V73" s="356"/>
      <c r="W73" s="356"/>
      <c r="X73" s="358"/>
    </row>
    <row r="74" spans="1:24" x14ac:dyDescent="0.3">
      <c r="A74" s="888" t="s">
        <v>675</v>
      </c>
      <c r="B74" s="889" t="s">
        <v>676</v>
      </c>
      <c r="C74" s="890"/>
      <c r="D74" s="890" t="s">
        <v>93</v>
      </c>
      <c r="E74" s="890" t="s">
        <v>40</v>
      </c>
      <c r="F74" s="885">
        <f>8955338.322/S2</f>
        <v>516160.80334756972</v>
      </c>
      <c r="G74" s="890" t="s">
        <v>94</v>
      </c>
      <c r="H74" s="890" t="s">
        <v>94</v>
      </c>
      <c r="I74" s="246" t="s">
        <v>43</v>
      </c>
      <c r="J74" s="198">
        <v>40422</v>
      </c>
      <c r="K74" s="198">
        <f>J74+3</f>
        <v>40425</v>
      </c>
      <c r="L74" s="198">
        <f>K74+7</f>
        <v>40432</v>
      </c>
      <c r="M74" s="198">
        <f>L74+7</f>
        <v>40439</v>
      </c>
      <c r="N74" s="198">
        <f>M74+30</f>
        <v>40469</v>
      </c>
      <c r="O74" s="198">
        <f>N74+10</f>
        <v>40479</v>
      </c>
      <c r="P74" s="198">
        <f>O74+4</f>
        <v>40483</v>
      </c>
      <c r="Q74" s="246" t="s">
        <v>43</v>
      </c>
      <c r="R74" s="247"/>
      <c r="S74" s="198">
        <f>P74+5</f>
        <v>40488</v>
      </c>
      <c r="T74" s="198">
        <f>S74+5</f>
        <v>40493</v>
      </c>
      <c r="U74" s="198">
        <f>T75+15</f>
        <v>40730</v>
      </c>
      <c r="V74" s="198">
        <f>U74+195</f>
        <v>40925</v>
      </c>
      <c r="W74" s="198">
        <f>V74+180</f>
        <v>41105</v>
      </c>
      <c r="X74" s="248">
        <f>F74</f>
        <v>516160.80334756972</v>
      </c>
    </row>
    <row r="75" spans="1:24" x14ac:dyDescent="0.3">
      <c r="A75" s="888"/>
      <c r="B75" s="889"/>
      <c r="C75" s="891"/>
      <c r="D75" s="891"/>
      <c r="E75" s="891"/>
      <c r="F75" s="886"/>
      <c r="G75" s="891"/>
      <c r="H75" s="891"/>
      <c r="I75" s="246" t="s">
        <v>44</v>
      </c>
      <c r="J75" s="197" t="s">
        <v>604</v>
      </c>
      <c r="K75" s="197" t="s">
        <v>605</v>
      </c>
      <c r="L75" s="197"/>
      <c r="M75" s="197" t="s">
        <v>661</v>
      </c>
      <c r="N75" s="197" t="s">
        <v>662</v>
      </c>
      <c r="O75" s="197" t="s">
        <v>161</v>
      </c>
      <c r="P75" s="197" t="s">
        <v>663</v>
      </c>
      <c r="Q75" s="246" t="s">
        <v>44</v>
      </c>
      <c r="R75" s="247">
        <f>7146055.84/S2</f>
        <v>411878.79123222607</v>
      </c>
      <c r="S75" s="197" t="s">
        <v>673</v>
      </c>
      <c r="T75" s="197" t="s">
        <v>674</v>
      </c>
      <c r="U75" s="198">
        <f>T75+15</f>
        <v>40730</v>
      </c>
      <c r="V75" s="252">
        <f>U75+195</f>
        <v>40925</v>
      </c>
      <c r="W75" s="252">
        <f>V75+180</f>
        <v>41105</v>
      </c>
      <c r="X75" s="249"/>
    </row>
    <row r="76" spans="1:24" x14ac:dyDescent="0.3">
      <c r="A76" s="888"/>
      <c r="B76" s="889"/>
      <c r="C76" s="892"/>
      <c r="D76" s="892"/>
      <c r="E76" s="892"/>
      <c r="F76" s="887"/>
      <c r="G76" s="892"/>
      <c r="H76" s="892"/>
      <c r="I76" s="356"/>
      <c r="J76" s="356"/>
      <c r="K76" s="356"/>
      <c r="L76" s="356"/>
      <c r="M76" s="356"/>
      <c r="N76" s="356"/>
      <c r="O76" s="356"/>
      <c r="P76" s="356"/>
      <c r="Q76" s="356"/>
      <c r="R76" s="357"/>
      <c r="S76" s="356"/>
      <c r="T76" s="356"/>
      <c r="U76" s="356"/>
      <c r="V76" s="356"/>
      <c r="W76" s="356"/>
      <c r="X76" s="358"/>
    </row>
    <row r="77" spans="1:24" x14ac:dyDescent="0.3">
      <c r="A77" s="888" t="s">
        <v>677</v>
      </c>
      <c r="B77" s="889" t="s">
        <v>678</v>
      </c>
      <c r="C77" s="890"/>
      <c r="D77" s="890" t="s">
        <v>93</v>
      </c>
      <c r="E77" s="890" t="s">
        <v>40</v>
      </c>
      <c r="F77" s="885">
        <f>6650898.62/S2</f>
        <v>383339.3057020501</v>
      </c>
      <c r="G77" s="890" t="s">
        <v>94</v>
      </c>
      <c r="H77" s="890" t="s">
        <v>94</v>
      </c>
      <c r="I77" s="246" t="s">
        <v>43</v>
      </c>
      <c r="J77" s="198">
        <v>40422</v>
      </c>
      <c r="K77" s="198">
        <f>J77+3</f>
        <v>40425</v>
      </c>
      <c r="L77" s="198">
        <f>K77+7</f>
        <v>40432</v>
      </c>
      <c r="M77" s="198">
        <f>L77+7</f>
        <v>40439</v>
      </c>
      <c r="N77" s="198">
        <f>M77+30</f>
        <v>40469</v>
      </c>
      <c r="O77" s="198">
        <f>N77+10</f>
        <v>40479</v>
      </c>
      <c r="P77" s="198">
        <f>O77+4</f>
        <v>40483</v>
      </c>
      <c r="Q77" s="246" t="s">
        <v>43</v>
      </c>
      <c r="R77" s="247"/>
      <c r="S77" s="198">
        <f>P77+5</f>
        <v>40488</v>
      </c>
      <c r="T77" s="198">
        <f>S77+5</f>
        <v>40493</v>
      </c>
      <c r="U77" s="198">
        <f>T77+10</f>
        <v>40503</v>
      </c>
      <c r="V77" s="198">
        <f>U77+360</f>
        <v>40863</v>
      </c>
      <c r="W77" s="198">
        <f>V77+180</f>
        <v>41043</v>
      </c>
      <c r="X77" s="248">
        <f>F77</f>
        <v>383339.3057020501</v>
      </c>
    </row>
    <row r="78" spans="1:24" x14ac:dyDescent="0.3">
      <c r="A78" s="888"/>
      <c r="B78" s="889"/>
      <c r="C78" s="891"/>
      <c r="D78" s="891"/>
      <c r="E78" s="891"/>
      <c r="F78" s="886"/>
      <c r="G78" s="891"/>
      <c r="H78" s="891"/>
      <c r="I78" s="246" t="s">
        <v>50</v>
      </c>
      <c r="J78" s="198"/>
      <c r="K78" s="198"/>
      <c r="L78" s="198"/>
      <c r="M78" s="198"/>
      <c r="N78" s="199"/>
      <c r="O78" s="198">
        <v>40958</v>
      </c>
      <c r="P78" s="198">
        <f>O78+3</f>
        <v>40961</v>
      </c>
      <c r="Q78" s="246" t="s">
        <v>50</v>
      </c>
      <c r="R78" s="247"/>
      <c r="S78" s="198">
        <f>P78+5</f>
        <v>40966</v>
      </c>
      <c r="T78" s="198">
        <f>S78+5</f>
        <v>40971</v>
      </c>
      <c r="U78" s="198">
        <f>T78+10</f>
        <v>40981</v>
      </c>
      <c r="V78" s="198">
        <f>U78+360</f>
        <v>41341</v>
      </c>
      <c r="W78" s="198">
        <f>V78+180</f>
        <v>41521</v>
      </c>
      <c r="X78" s="248">
        <f>F77</f>
        <v>383339.3057020501</v>
      </c>
    </row>
    <row r="79" spans="1:24" x14ac:dyDescent="0.3">
      <c r="A79" s="888"/>
      <c r="B79" s="889"/>
      <c r="C79" s="891"/>
      <c r="D79" s="891"/>
      <c r="E79" s="891"/>
      <c r="F79" s="886"/>
      <c r="G79" s="891"/>
      <c r="H79" s="891"/>
      <c r="I79" s="246" t="s">
        <v>504</v>
      </c>
      <c r="J79" s="198">
        <f>K79-3</f>
        <v>41001</v>
      </c>
      <c r="K79" s="198">
        <f>L79-7</f>
        <v>41004</v>
      </c>
      <c r="L79" s="198">
        <f>M79-7</f>
        <v>41011</v>
      </c>
      <c r="M79" s="198">
        <f>N79-30</f>
        <v>41018</v>
      </c>
      <c r="N79" s="198">
        <f>O79-10</f>
        <v>41048</v>
      </c>
      <c r="O79" s="198">
        <v>41058</v>
      </c>
      <c r="P79" s="198">
        <f>O79+3</f>
        <v>41061</v>
      </c>
      <c r="Q79" s="246" t="s">
        <v>504</v>
      </c>
      <c r="R79" s="247"/>
      <c r="S79" s="198">
        <f>O79+7</f>
        <v>41065</v>
      </c>
      <c r="T79" s="198">
        <f>S79+10</f>
        <v>41075</v>
      </c>
      <c r="U79" s="198">
        <f>T79+10</f>
        <v>41085</v>
      </c>
      <c r="V79" s="198">
        <f>U79+180</f>
        <v>41265</v>
      </c>
      <c r="W79" s="198">
        <f>V79+365</f>
        <v>41630</v>
      </c>
      <c r="X79" s="248"/>
    </row>
    <row r="80" spans="1:24" x14ac:dyDescent="0.3">
      <c r="A80" s="888"/>
      <c r="B80" s="889"/>
      <c r="C80" s="891"/>
      <c r="D80" s="891"/>
      <c r="E80" s="891"/>
      <c r="F80" s="886"/>
      <c r="G80" s="891"/>
      <c r="H80" s="891"/>
      <c r="I80" s="246" t="s">
        <v>44</v>
      </c>
      <c r="J80" s="197" t="s">
        <v>679</v>
      </c>
      <c r="K80" s="197" t="s">
        <v>680</v>
      </c>
      <c r="L80" s="252">
        <f>M80-30</f>
        <v>40880</v>
      </c>
      <c r="M80" s="197" t="s">
        <v>681</v>
      </c>
      <c r="N80" s="198">
        <v>40946</v>
      </c>
      <c r="O80" s="252">
        <f>P80-3</f>
        <v>40976</v>
      </c>
      <c r="P80" s="252">
        <f>S80-3</f>
        <v>40979</v>
      </c>
      <c r="Q80" s="246" t="s">
        <v>44</v>
      </c>
      <c r="R80" s="247">
        <f>4846792.28/17.3499</f>
        <v>279355.63202093384</v>
      </c>
      <c r="S80" s="197" t="s">
        <v>719</v>
      </c>
      <c r="T80" s="197" t="s">
        <v>720</v>
      </c>
      <c r="U80" s="252">
        <f>T80+10</f>
        <v>41000</v>
      </c>
      <c r="V80" s="252">
        <f>T80+180</f>
        <v>41170</v>
      </c>
      <c r="W80" s="252">
        <f>V80+180</f>
        <v>41350</v>
      </c>
      <c r="X80" s="249"/>
    </row>
    <row r="81" spans="1:24" x14ac:dyDescent="0.3">
      <c r="A81" s="888"/>
      <c r="B81" s="889"/>
      <c r="C81" s="892"/>
      <c r="D81" s="892"/>
      <c r="E81" s="892"/>
      <c r="F81" s="887"/>
      <c r="G81" s="892"/>
      <c r="H81" s="892"/>
      <c r="I81" s="356"/>
      <c r="J81" s="356"/>
      <c r="K81" s="356"/>
      <c r="L81" s="356"/>
      <c r="M81" s="356"/>
      <c r="N81" s="356"/>
      <c r="O81" s="356"/>
      <c r="P81" s="356"/>
      <c r="Q81" s="356"/>
      <c r="R81" s="357"/>
      <c r="S81" s="356"/>
      <c r="T81" s="356"/>
      <c r="U81" s="356"/>
      <c r="V81" s="356"/>
      <c r="W81" s="356"/>
      <c r="X81" s="358"/>
    </row>
    <row r="82" spans="1:24" x14ac:dyDescent="0.3">
      <c r="A82" s="888" t="s">
        <v>682</v>
      </c>
      <c r="B82" s="889" t="s">
        <v>683</v>
      </c>
      <c r="C82" s="890"/>
      <c r="D82" s="890" t="s">
        <v>93</v>
      </c>
      <c r="E82" s="890" t="s">
        <v>40</v>
      </c>
      <c r="F82" s="885">
        <f>6699999.998/S2</f>
        <v>386169.37261886231</v>
      </c>
      <c r="G82" s="890" t="s">
        <v>94</v>
      </c>
      <c r="H82" s="890" t="s">
        <v>94</v>
      </c>
      <c r="I82" s="246" t="s">
        <v>43</v>
      </c>
      <c r="J82" s="198">
        <v>40603</v>
      </c>
      <c r="K82" s="198">
        <f>J82+3</f>
        <v>40606</v>
      </c>
      <c r="L82" s="198">
        <f>K82+7</f>
        <v>40613</v>
      </c>
      <c r="M82" s="198">
        <f>L82+7</f>
        <v>40620</v>
      </c>
      <c r="N82" s="198">
        <v>40946</v>
      </c>
      <c r="O82" s="198">
        <f>N82+10</f>
        <v>40956</v>
      </c>
      <c r="P82" s="198">
        <f>O82+4</f>
        <v>40960</v>
      </c>
      <c r="Q82" s="246" t="s">
        <v>43</v>
      </c>
      <c r="R82" s="247"/>
      <c r="S82" s="198">
        <f>P82+5</f>
        <v>40965</v>
      </c>
      <c r="T82" s="198">
        <f>S82+5</f>
        <v>40970</v>
      </c>
      <c r="U82" s="198">
        <f>T82+10</f>
        <v>40980</v>
      </c>
      <c r="V82" s="198">
        <f>U82+360</f>
        <v>41340</v>
      </c>
      <c r="W82" s="198">
        <f>V82+180</f>
        <v>41520</v>
      </c>
      <c r="X82" s="248">
        <f>F82</f>
        <v>386169.37261886231</v>
      </c>
    </row>
    <row r="83" spans="1:24" x14ac:dyDescent="0.3">
      <c r="A83" s="888"/>
      <c r="B83" s="889"/>
      <c r="C83" s="891"/>
      <c r="D83" s="891"/>
      <c r="E83" s="891"/>
      <c r="F83" s="886"/>
      <c r="G83" s="891"/>
      <c r="H83" s="891"/>
      <c r="I83" s="246" t="s">
        <v>50</v>
      </c>
      <c r="J83" s="198"/>
      <c r="K83" s="198"/>
      <c r="L83" s="198"/>
      <c r="M83" s="198"/>
      <c r="N83" s="199"/>
      <c r="O83" s="198">
        <v>40958</v>
      </c>
      <c r="P83" s="198">
        <f>O83+3</f>
        <v>40961</v>
      </c>
      <c r="Q83" s="246" t="s">
        <v>50</v>
      </c>
      <c r="R83" s="247"/>
      <c r="S83" s="198">
        <f>P83+5</f>
        <v>40966</v>
      </c>
      <c r="T83" s="198">
        <f>S83+5</f>
        <v>40971</v>
      </c>
      <c r="U83" s="198">
        <f>T83+10</f>
        <v>40981</v>
      </c>
      <c r="V83" s="198">
        <f>U83+360</f>
        <v>41341</v>
      </c>
      <c r="W83" s="198">
        <f>V83+180</f>
        <v>41521</v>
      </c>
      <c r="X83" s="248"/>
    </row>
    <row r="84" spans="1:24" x14ac:dyDescent="0.3">
      <c r="A84" s="888"/>
      <c r="B84" s="889"/>
      <c r="C84" s="891"/>
      <c r="D84" s="891"/>
      <c r="E84" s="891"/>
      <c r="F84" s="886"/>
      <c r="G84" s="891"/>
      <c r="H84" s="891"/>
      <c r="I84" s="246" t="s">
        <v>504</v>
      </c>
      <c r="J84" s="198">
        <f>K84-3</f>
        <v>41001</v>
      </c>
      <c r="K84" s="198">
        <f>L84-7</f>
        <v>41004</v>
      </c>
      <c r="L84" s="198">
        <f>M84-7</f>
        <v>41011</v>
      </c>
      <c r="M84" s="198">
        <f>N84-30</f>
        <v>41018</v>
      </c>
      <c r="N84" s="198">
        <f>O84-10</f>
        <v>41048</v>
      </c>
      <c r="O84" s="198">
        <v>41058</v>
      </c>
      <c r="P84" s="198">
        <f>O84+3</f>
        <v>41061</v>
      </c>
      <c r="Q84" s="246" t="s">
        <v>504</v>
      </c>
      <c r="R84" s="247"/>
      <c r="S84" s="198">
        <f>O84+7</f>
        <v>41065</v>
      </c>
      <c r="T84" s="198">
        <f>S84+10</f>
        <v>41075</v>
      </c>
      <c r="U84" s="198">
        <f>T84+10</f>
        <v>41085</v>
      </c>
      <c r="V84" s="198">
        <f>U84+180</f>
        <v>41265</v>
      </c>
      <c r="W84" s="198">
        <f>V84+365</f>
        <v>41630</v>
      </c>
      <c r="X84" s="248"/>
    </row>
    <row r="85" spans="1:24" x14ac:dyDescent="0.3">
      <c r="A85" s="888"/>
      <c r="B85" s="889"/>
      <c r="C85" s="891"/>
      <c r="D85" s="891"/>
      <c r="E85" s="891"/>
      <c r="F85" s="886"/>
      <c r="G85" s="891"/>
      <c r="H85" s="891"/>
      <c r="I85" s="246" t="s">
        <v>44</v>
      </c>
      <c r="J85" s="197" t="s">
        <v>679</v>
      </c>
      <c r="K85" s="197" t="s">
        <v>680</v>
      </c>
      <c r="L85" s="252">
        <f>M85-30</f>
        <v>40880</v>
      </c>
      <c r="M85" s="197" t="s">
        <v>681</v>
      </c>
      <c r="N85" s="198">
        <v>40946</v>
      </c>
      <c r="O85" s="252">
        <f>P85-3</f>
        <v>40976</v>
      </c>
      <c r="P85" s="252">
        <f>S85-3</f>
        <v>40979</v>
      </c>
      <c r="Q85" s="246" t="s">
        <v>44</v>
      </c>
      <c r="R85" s="247">
        <f>4846792.28/17.3499</f>
        <v>279355.63202093384</v>
      </c>
      <c r="S85" s="197" t="s">
        <v>719</v>
      </c>
      <c r="T85" s="197" t="s">
        <v>720</v>
      </c>
      <c r="U85" s="252">
        <f>T85+10</f>
        <v>41000</v>
      </c>
      <c r="V85" s="252">
        <f>T85+180</f>
        <v>41170</v>
      </c>
      <c r="W85" s="252">
        <f>V85+180</f>
        <v>41350</v>
      </c>
      <c r="X85" s="249"/>
    </row>
    <row r="86" spans="1:24" x14ac:dyDescent="0.3">
      <c r="A86" s="888"/>
      <c r="B86" s="889"/>
      <c r="C86" s="892"/>
      <c r="D86" s="892"/>
      <c r="E86" s="892"/>
      <c r="F86" s="887"/>
      <c r="G86" s="892"/>
      <c r="H86" s="892"/>
      <c r="I86" s="356"/>
      <c r="J86" s="356"/>
      <c r="K86" s="356"/>
      <c r="L86" s="356"/>
      <c r="M86" s="356"/>
      <c r="N86" s="356"/>
      <c r="O86" s="356"/>
      <c r="P86" s="356"/>
      <c r="Q86" s="356"/>
      <c r="R86" s="357"/>
      <c r="S86" s="356"/>
      <c r="T86" s="356"/>
      <c r="U86" s="356"/>
      <c r="V86" s="356"/>
      <c r="W86" s="356"/>
      <c r="X86" s="358"/>
    </row>
    <row r="87" spans="1:24" x14ac:dyDescent="0.3">
      <c r="A87" s="888" t="s">
        <v>684</v>
      </c>
      <c r="B87" s="889" t="s">
        <v>685</v>
      </c>
      <c r="C87" s="890"/>
      <c r="D87" s="890" t="s">
        <v>93</v>
      </c>
      <c r="E87" s="890" t="s">
        <v>40</v>
      </c>
      <c r="F87" s="885">
        <f>4150000/S2</f>
        <v>239194.46221592053</v>
      </c>
      <c r="G87" s="890" t="s">
        <v>94</v>
      </c>
      <c r="H87" s="890" t="s">
        <v>94</v>
      </c>
      <c r="I87" s="246" t="s">
        <v>43</v>
      </c>
      <c r="J87" s="198">
        <v>40634</v>
      </c>
      <c r="K87" s="198">
        <f>J87+3</f>
        <v>40637</v>
      </c>
      <c r="L87" s="198">
        <f>K87+7</f>
        <v>40644</v>
      </c>
      <c r="M87" s="198">
        <f>L87+7</f>
        <v>40651</v>
      </c>
      <c r="N87" s="198">
        <f>M87+30</f>
        <v>40681</v>
      </c>
      <c r="O87" s="198">
        <f>N87+10</f>
        <v>40691</v>
      </c>
      <c r="P87" s="198">
        <f>O87+4</f>
        <v>40695</v>
      </c>
      <c r="Q87" s="246" t="s">
        <v>43</v>
      </c>
      <c r="R87" s="247"/>
      <c r="S87" s="198">
        <f>P87+5</f>
        <v>40700</v>
      </c>
      <c r="T87" s="198">
        <f>S87+5</f>
        <v>40705</v>
      </c>
      <c r="U87" s="198">
        <f>T88+10</f>
        <v>40943</v>
      </c>
      <c r="V87" s="198">
        <f>U87+195</f>
        <v>41138</v>
      </c>
      <c r="W87" s="198">
        <f>V87+180</f>
        <v>41318</v>
      </c>
      <c r="X87" s="248">
        <f>F87</f>
        <v>239194.46221592053</v>
      </c>
    </row>
    <row r="88" spans="1:24" x14ac:dyDescent="0.3">
      <c r="A88" s="888"/>
      <c r="B88" s="889"/>
      <c r="C88" s="891"/>
      <c r="D88" s="891"/>
      <c r="E88" s="891"/>
      <c r="F88" s="886"/>
      <c r="G88" s="891"/>
      <c r="H88" s="891"/>
      <c r="I88" s="246" t="s">
        <v>44</v>
      </c>
      <c r="J88" s="197" t="s">
        <v>686</v>
      </c>
      <c r="K88" s="197" t="s">
        <v>687</v>
      </c>
      <c r="L88" s="197"/>
      <c r="M88" s="197" t="s">
        <v>587</v>
      </c>
      <c r="N88" s="197" t="s">
        <v>688</v>
      </c>
      <c r="O88" s="197" t="s">
        <v>611</v>
      </c>
      <c r="P88" s="197" t="s">
        <v>689</v>
      </c>
      <c r="Q88" s="246" t="s">
        <v>44</v>
      </c>
      <c r="R88" s="247">
        <f>4088919.43/S2</f>
        <v>235673.94797664537</v>
      </c>
      <c r="S88" s="197" t="s">
        <v>690</v>
      </c>
      <c r="T88" s="197" t="s">
        <v>691</v>
      </c>
      <c r="U88" s="252">
        <f>T88+10</f>
        <v>40943</v>
      </c>
      <c r="V88" s="252">
        <f>T88+195</f>
        <v>41128</v>
      </c>
      <c r="W88" s="252">
        <f>V88+180</f>
        <v>41308</v>
      </c>
      <c r="X88" s="249"/>
    </row>
    <row r="89" spans="1:24" x14ac:dyDescent="0.3">
      <c r="A89" s="888"/>
      <c r="B89" s="889"/>
      <c r="C89" s="892"/>
      <c r="D89" s="892"/>
      <c r="E89" s="892"/>
      <c r="F89" s="887"/>
      <c r="G89" s="892"/>
      <c r="H89" s="892"/>
      <c r="I89" s="356"/>
      <c r="J89" s="356"/>
      <c r="K89" s="356"/>
      <c r="L89" s="356"/>
      <c r="M89" s="356"/>
      <c r="N89" s="356"/>
      <c r="O89" s="356"/>
      <c r="P89" s="356"/>
      <c r="Q89" s="356"/>
      <c r="R89" s="357"/>
      <c r="S89" s="356"/>
      <c r="T89" s="356"/>
      <c r="U89" s="356"/>
      <c r="V89" s="356"/>
      <c r="W89" s="356"/>
      <c r="X89" s="358"/>
    </row>
    <row r="90" spans="1:24" x14ac:dyDescent="0.3">
      <c r="A90" s="888" t="s">
        <v>692</v>
      </c>
      <c r="B90" s="889" t="s">
        <v>693</v>
      </c>
      <c r="C90" s="890"/>
      <c r="D90" s="890" t="s">
        <v>93</v>
      </c>
      <c r="E90" s="890" t="s">
        <v>40</v>
      </c>
      <c r="F90" s="885">
        <f>9888972.29/S2</f>
        <v>569972.8695842626</v>
      </c>
      <c r="G90" s="890" t="s">
        <v>94</v>
      </c>
      <c r="H90" s="890" t="s">
        <v>94</v>
      </c>
      <c r="I90" s="246" t="s">
        <v>43</v>
      </c>
      <c r="J90" s="198">
        <v>40634</v>
      </c>
      <c r="K90" s="198">
        <f>J90+3</f>
        <v>40637</v>
      </c>
      <c r="L90" s="198">
        <f>K90+7</f>
        <v>40644</v>
      </c>
      <c r="M90" s="198">
        <f>L90+7</f>
        <v>40651</v>
      </c>
      <c r="N90" s="198">
        <f>M90+30</f>
        <v>40681</v>
      </c>
      <c r="O90" s="198">
        <f>N90+10</f>
        <v>40691</v>
      </c>
      <c r="P90" s="198">
        <f>O90+4</f>
        <v>40695</v>
      </c>
      <c r="Q90" s="246" t="s">
        <v>43</v>
      </c>
      <c r="R90" s="247"/>
      <c r="S90" s="198">
        <f>P90+5</f>
        <v>40700</v>
      </c>
      <c r="T90" s="198">
        <f>S90+5</f>
        <v>40705</v>
      </c>
      <c r="U90" s="198">
        <f>T91+10</f>
        <v>40734</v>
      </c>
      <c r="V90" s="198">
        <f>U90+360</f>
        <v>41094</v>
      </c>
      <c r="W90" s="198">
        <f>V90+180</f>
        <v>41274</v>
      </c>
      <c r="X90" s="248">
        <f>F90</f>
        <v>569972.8695842626</v>
      </c>
    </row>
    <row r="91" spans="1:24" x14ac:dyDescent="0.3">
      <c r="A91" s="888"/>
      <c r="B91" s="889"/>
      <c r="C91" s="891"/>
      <c r="D91" s="891"/>
      <c r="E91" s="891"/>
      <c r="F91" s="886"/>
      <c r="G91" s="891"/>
      <c r="H91" s="891"/>
      <c r="I91" s="246" t="s">
        <v>44</v>
      </c>
      <c r="J91" s="197" t="s">
        <v>604</v>
      </c>
      <c r="K91" s="197" t="s">
        <v>605</v>
      </c>
      <c r="L91" s="197"/>
      <c r="M91" s="197" t="s">
        <v>661</v>
      </c>
      <c r="N91" s="197" t="s">
        <v>662</v>
      </c>
      <c r="O91" s="197" t="s">
        <v>161</v>
      </c>
      <c r="P91" s="197" t="s">
        <v>663</v>
      </c>
      <c r="Q91" s="246" t="s">
        <v>44</v>
      </c>
      <c r="R91" s="247">
        <f>9923713.69/S2</f>
        <v>571975.26729260676</v>
      </c>
      <c r="S91" s="197" t="s">
        <v>673</v>
      </c>
      <c r="T91" s="197" t="s">
        <v>123</v>
      </c>
      <c r="U91" s="252">
        <f>T91+10</f>
        <v>40734</v>
      </c>
      <c r="V91" s="252">
        <f>T91+195</f>
        <v>40919</v>
      </c>
      <c r="W91" s="252">
        <f>V91+180</f>
        <v>41099</v>
      </c>
      <c r="X91" s="249"/>
    </row>
    <row r="92" spans="1:24" x14ac:dyDescent="0.3">
      <c r="A92" s="888"/>
      <c r="B92" s="889"/>
      <c r="C92" s="892"/>
      <c r="D92" s="892"/>
      <c r="E92" s="892"/>
      <c r="F92" s="887"/>
      <c r="G92" s="892"/>
      <c r="H92" s="892"/>
      <c r="I92" s="356"/>
      <c r="J92" s="356"/>
      <c r="K92" s="356"/>
      <c r="L92" s="356"/>
      <c r="M92" s="356"/>
      <c r="N92" s="356"/>
      <c r="O92" s="356"/>
      <c r="P92" s="356"/>
      <c r="Q92" s="356"/>
      <c r="R92" s="357"/>
      <c r="S92" s="356"/>
      <c r="T92" s="356"/>
      <c r="U92" s="356"/>
      <c r="V92" s="356"/>
      <c r="W92" s="356"/>
      <c r="X92" s="358"/>
    </row>
    <row r="93" spans="1:24" x14ac:dyDescent="0.3">
      <c r="A93" s="888" t="s">
        <v>694</v>
      </c>
      <c r="B93" s="889" t="s">
        <v>695</v>
      </c>
      <c r="C93" s="890"/>
      <c r="D93" s="890" t="s">
        <v>93</v>
      </c>
      <c r="E93" s="890" t="s">
        <v>40</v>
      </c>
      <c r="F93" s="885">
        <f>4636737.013/S2</f>
        <v>267248.63042438286</v>
      </c>
      <c r="G93" s="890" t="s">
        <v>94</v>
      </c>
      <c r="H93" s="890" t="s">
        <v>94</v>
      </c>
      <c r="I93" s="246" t="s">
        <v>43</v>
      </c>
      <c r="J93" s="198">
        <v>40334</v>
      </c>
      <c r="K93" s="198">
        <f>J93+10</f>
        <v>40344</v>
      </c>
      <c r="L93" s="198">
        <f>K93+7</f>
        <v>40351</v>
      </c>
      <c r="M93" s="198">
        <f>L93+7</f>
        <v>40358</v>
      </c>
      <c r="N93" s="198">
        <f>M93+30</f>
        <v>40388</v>
      </c>
      <c r="O93" s="198">
        <f>N93+10</f>
        <v>40398</v>
      </c>
      <c r="P93" s="198">
        <f>O93+10</f>
        <v>40408</v>
      </c>
      <c r="Q93" s="246" t="s">
        <v>43</v>
      </c>
      <c r="R93" s="247"/>
      <c r="S93" s="198">
        <f>P93+5</f>
        <v>40413</v>
      </c>
      <c r="T93" s="198">
        <f>S93+5</f>
        <v>40418</v>
      </c>
      <c r="U93" s="198">
        <f>T93+10</f>
        <v>40428</v>
      </c>
      <c r="V93" s="198">
        <v>40998</v>
      </c>
      <c r="W93" s="198">
        <f>V93+180</f>
        <v>41178</v>
      </c>
      <c r="X93" s="248">
        <f>F93</f>
        <v>267248.63042438286</v>
      </c>
    </row>
    <row r="94" spans="1:24" x14ac:dyDescent="0.25">
      <c r="A94" s="888"/>
      <c r="B94" s="889"/>
      <c r="C94" s="891"/>
      <c r="D94" s="891"/>
      <c r="E94" s="891"/>
      <c r="F94" s="886"/>
      <c r="G94" s="891"/>
      <c r="H94" s="891"/>
      <c r="I94" s="246" t="s">
        <v>44</v>
      </c>
      <c r="J94" s="197" t="s">
        <v>696</v>
      </c>
      <c r="K94" s="197" t="s">
        <v>697</v>
      </c>
      <c r="L94" s="253"/>
      <c r="M94" s="198">
        <v>40349</v>
      </c>
      <c r="N94" s="198">
        <v>40383</v>
      </c>
      <c r="O94" s="198">
        <v>40401</v>
      </c>
      <c r="P94" s="198">
        <f>O94+10</f>
        <v>40411</v>
      </c>
      <c r="Q94" s="246" t="s">
        <v>44</v>
      </c>
      <c r="R94" s="247">
        <f>3036490.06/S2</f>
        <v>175014.84504233452</v>
      </c>
      <c r="S94" s="197"/>
      <c r="T94" s="251">
        <v>40469</v>
      </c>
      <c r="U94" s="252">
        <f>T94+10</f>
        <v>40479</v>
      </c>
      <c r="V94" s="252">
        <f>U94+195</f>
        <v>40674</v>
      </c>
      <c r="W94" s="252">
        <f>V94+180</f>
        <v>40854</v>
      </c>
      <c r="X94" s="249"/>
    </row>
    <row r="95" spans="1:24" x14ac:dyDescent="0.3">
      <c r="A95" s="888"/>
      <c r="B95" s="889"/>
      <c r="C95" s="892"/>
      <c r="D95" s="892"/>
      <c r="E95" s="892"/>
      <c r="F95" s="887"/>
      <c r="G95" s="892"/>
      <c r="H95" s="892"/>
      <c r="I95" s="356"/>
      <c r="J95" s="356"/>
      <c r="K95" s="356"/>
      <c r="L95" s="356"/>
      <c r="M95" s="356"/>
      <c r="N95" s="356"/>
      <c r="O95" s="356"/>
      <c r="P95" s="356"/>
      <c r="Q95" s="356"/>
      <c r="R95" s="357"/>
      <c r="S95" s="356"/>
      <c r="T95" s="356"/>
      <c r="U95" s="356"/>
      <c r="V95" s="356"/>
      <c r="W95" s="356"/>
      <c r="X95" s="358"/>
    </row>
    <row r="96" spans="1:24" x14ac:dyDescent="0.3">
      <c r="A96" s="888" t="s">
        <v>698</v>
      </c>
      <c r="B96" s="889" t="s">
        <v>699</v>
      </c>
      <c r="C96" s="890"/>
      <c r="D96" s="890" t="s">
        <v>93</v>
      </c>
      <c r="E96" s="890" t="s">
        <v>40</v>
      </c>
      <c r="F96" s="885">
        <f>3810215.774/S2</f>
        <v>219610.24409362589</v>
      </c>
      <c r="G96" s="890" t="s">
        <v>94</v>
      </c>
      <c r="H96" s="890" t="s">
        <v>94</v>
      </c>
      <c r="I96" s="246" t="s">
        <v>43</v>
      </c>
      <c r="J96" s="198">
        <v>39974</v>
      </c>
      <c r="K96" s="198">
        <f>J96+10</f>
        <v>39984</v>
      </c>
      <c r="L96" s="198">
        <f>K96+7</f>
        <v>39991</v>
      </c>
      <c r="M96" s="198">
        <f>L96+7</f>
        <v>39998</v>
      </c>
      <c r="N96" s="198">
        <f>M96+30</f>
        <v>40028</v>
      </c>
      <c r="O96" s="198">
        <f>N96+10</f>
        <v>40038</v>
      </c>
      <c r="P96" s="198">
        <f>O96+10</f>
        <v>40048</v>
      </c>
      <c r="Q96" s="246" t="s">
        <v>43</v>
      </c>
      <c r="R96" s="247"/>
      <c r="S96" s="198">
        <f>P96+5</f>
        <v>40053</v>
      </c>
      <c r="T96" s="198">
        <v>40045</v>
      </c>
      <c r="U96" s="198">
        <f>T97+10</f>
        <v>40941</v>
      </c>
      <c r="V96" s="198">
        <f>U96+195</f>
        <v>41136</v>
      </c>
      <c r="W96" s="198">
        <f>V96+180</f>
        <v>41316</v>
      </c>
      <c r="X96" s="248">
        <f>F96</f>
        <v>219610.24409362589</v>
      </c>
    </row>
    <row r="97" spans="1:32" x14ac:dyDescent="0.3">
      <c r="A97" s="888"/>
      <c r="B97" s="889"/>
      <c r="C97" s="891"/>
      <c r="D97" s="891"/>
      <c r="E97" s="891"/>
      <c r="F97" s="886"/>
      <c r="G97" s="891"/>
      <c r="H97" s="891"/>
      <c r="I97" s="246" t="s">
        <v>44</v>
      </c>
      <c r="J97" s="197" t="s">
        <v>686</v>
      </c>
      <c r="K97" s="197" t="s">
        <v>687</v>
      </c>
      <c r="L97" s="197"/>
      <c r="M97" s="197" t="s">
        <v>587</v>
      </c>
      <c r="N97" s="197" t="s">
        <v>688</v>
      </c>
      <c r="O97" s="197" t="s">
        <v>611</v>
      </c>
      <c r="P97" s="197" t="s">
        <v>689</v>
      </c>
      <c r="Q97" s="246" t="s">
        <v>44</v>
      </c>
      <c r="R97" s="247">
        <f>11950073.23/S2</f>
        <v>688768.9975158358</v>
      </c>
      <c r="S97" s="197" t="s">
        <v>690</v>
      </c>
      <c r="T97" s="197" t="s">
        <v>468</v>
      </c>
      <c r="U97" s="252">
        <f>T97+10</f>
        <v>40941</v>
      </c>
      <c r="V97" s="252">
        <f>T97+195</f>
        <v>41126</v>
      </c>
      <c r="W97" s="252">
        <f>V97+180</f>
        <v>41306</v>
      </c>
      <c r="X97" s="249"/>
    </row>
    <row r="98" spans="1:32" x14ac:dyDescent="0.3">
      <c r="A98" s="888"/>
      <c r="B98" s="889"/>
      <c r="C98" s="892"/>
      <c r="D98" s="892"/>
      <c r="E98" s="892"/>
      <c r="F98" s="887"/>
      <c r="G98" s="892"/>
      <c r="H98" s="892"/>
      <c r="I98" s="356"/>
      <c r="J98" s="356"/>
      <c r="K98" s="356"/>
      <c r="L98" s="356"/>
      <c r="M98" s="356"/>
      <c r="N98" s="356"/>
      <c r="O98" s="356"/>
      <c r="P98" s="356"/>
      <c r="Q98" s="356"/>
      <c r="R98" s="357"/>
      <c r="S98" s="356"/>
      <c r="T98" s="356"/>
      <c r="U98" s="356"/>
      <c r="V98" s="356"/>
      <c r="W98" s="356"/>
      <c r="X98" s="358"/>
    </row>
    <row r="99" spans="1:32" x14ac:dyDescent="0.3">
      <c r="A99" s="894" t="s">
        <v>700</v>
      </c>
      <c r="B99" s="889" t="s">
        <v>737</v>
      </c>
      <c r="C99" s="890"/>
      <c r="D99" s="890" t="s">
        <v>93</v>
      </c>
      <c r="E99" s="890" t="s">
        <v>40</v>
      </c>
      <c r="F99" s="885">
        <f>16000000/S2</f>
        <v>922195.51697704301</v>
      </c>
      <c r="G99" s="890" t="s">
        <v>94</v>
      </c>
      <c r="H99" s="890" t="s">
        <v>94</v>
      </c>
      <c r="I99" s="246" t="s">
        <v>43</v>
      </c>
      <c r="J99" s="198">
        <v>39814</v>
      </c>
      <c r="K99" s="198">
        <f>J99+10</f>
        <v>39824</v>
      </c>
      <c r="L99" s="198">
        <f>K99+7</f>
        <v>39831</v>
      </c>
      <c r="M99" s="198">
        <f>L99+7</f>
        <v>39838</v>
      </c>
      <c r="N99" s="198">
        <f>M99+30</f>
        <v>39868</v>
      </c>
      <c r="O99" s="198">
        <f>N99+10</f>
        <v>39878</v>
      </c>
      <c r="P99" s="198">
        <f>O99+10</f>
        <v>39888</v>
      </c>
      <c r="Q99" s="246" t="s">
        <v>43</v>
      </c>
      <c r="R99" s="247"/>
      <c r="S99" s="198">
        <v>39950</v>
      </c>
      <c r="T99" s="198">
        <v>39955</v>
      </c>
      <c r="U99" s="198">
        <f>T99+10</f>
        <v>39965</v>
      </c>
      <c r="V99" s="198">
        <f>U99+420</f>
        <v>40385</v>
      </c>
      <c r="W99" s="198">
        <f>V99+180</f>
        <v>40565</v>
      </c>
      <c r="X99" s="247">
        <f>F99</f>
        <v>922195.51697704301</v>
      </c>
    </row>
    <row r="100" spans="1:32" x14ac:dyDescent="0.25">
      <c r="A100" s="894"/>
      <c r="B100" s="889"/>
      <c r="C100" s="891"/>
      <c r="D100" s="891"/>
      <c r="E100" s="891"/>
      <c r="F100" s="886"/>
      <c r="G100" s="891"/>
      <c r="H100" s="891"/>
      <c r="I100" s="246" t="s">
        <v>44</v>
      </c>
      <c r="J100" s="197" t="s">
        <v>617</v>
      </c>
      <c r="K100" s="197" t="s">
        <v>618</v>
      </c>
      <c r="L100" s="197"/>
      <c r="M100" s="197" t="s">
        <v>619</v>
      </c>
      <c r="N100" s="197" t="s">
        <v>620</v>
      </c>
      <c r="O100" s="197" t="s">
        <v>621</v>
      </c>
      <c r="P100" s="197" t="s">
        <v>621</v>
      </c>
      <c r="Q100" s="246" t="s">
        <v>44</v>
      </c>
      <c r="R100" s="247">
        <f>15194295/S2</f>
        <v>875756.92078916868</v>
      </c>
      <c r="S100" s="197" t="s">
        <v>622</v>
      </c>
      <c r="T100" s="251">
        <v>39955</v>
      </c>
      <c r="U100" s="252">
        <f>T100+10</f>
        <v>39965</v>
      </c>
      <c r="V100" s="252">
        <f>T101+195</f>
        <v>195</v>
      </c>
      <c r="W100" s="252">
        <f>V100+180</f>
        <v>375</v>
      </c>
      <c r="X100" s="197"/>
    </row>
    <row r="101" spans="1:32" x14ac:dyDescent="0.3">
      <c r="A101" s="894"/>
      <c r="B101" s="889"/>
      <c r="C101" s="892"/>
      <c r="D101" s="892"/>
      <c r="E101" s="892"/>
      <c r="F101" s="887"/>
      <c r="G101" s="892"/>
      <c r="H101" s="892"/>
      <c r="I101" s="356"/>
      <c r="J101" s="356"/>
      <c r="K101" s="356"/>
      <c r="L101" s="356"/>
      <c r="M101" s="356"/>
      <c r="N101" s="356"/>
      <c r="O101" s="356"/>
      <c r="P101" s="356"/>
      <c r="Q101" s="356"/>
      <c r="R101" s="357"/>
      <c r="S101" s="356"/>
      <c r="T101" s="356"/>
      <c r="U101" s="356"/>
      <c r="V101" s="356"/>
      <c r="W101" s="356"/>
      <c r="X101" s="358"/>
    </row>
    <row r="102" spans="1:32" s="257" customFormat="1" x14ac:dyDescent="0.3">
      <c r="A102" s="893" t="s">
        <v>701</v>
      </c>
      <c r="B102" s="893"/>
      <c r="C102" s="893"/>
      <c r="D102" s="893"/>
      <c r="E102" s="893"/>
      <c r="F102" s="604">
        <f>SUM(F15:F101)</f>
        <v>6018441.0194295067</v>
      </c>
      <c r="G102" s="254"/>
      <c r="H102" s="255"/>
      <c r="I102" s="254"/>
      <c r="J102" s="255"/>
      <c r="K102" s="255"/>
      <c r="L102" s="255"/>
      <c r="M102" s="255"/>
      <c r="N102" s="255"/>
      <c r="O102" s="255"/>
      <c r="P102" s="255"/>
      <c r="Q102" s="254"/>
      <c r="R102" s="606">
        <f>SUM(R13:R100)</f>
        <v>5389153.1545811016</v>
      </c>
      <c r="S102" s="255"/>
      <c r="T102" s="255"/>
      <c r="U102" s="255"/>
      <c r="V102" s="255"/>
      <c r="W102" s="255"/>
      <c r="X102" s="256">
        <f>X59+X58+X55+X52+X49+X46+X99+X43+X40+X37+X34+X96+X93+X90+X87+X82+X77+X74+X71+X68+X65+X62+X28+X24+X21+X12+X18+X15</f>
        <v>5745240.5975250574</v>
      </c>
    </row>
    <row r="105" spans="1:32" x14ac:dyDescent="0.3">
      <c r="B105" s="258"/>
    </row>
    <row r="106" spans="1:32" x14ac:dyDescent="0.3">
      <c r="A106" s="258"/>
      <c r="B106" s="258"/>
      <c r="N106" s="605">
        <f>N12-M12</f>
        <v>30</v>
      </c>
    </row>
    <row r="107" spans="1:32" x14ac:dyDescent="0.3">
      <c r="B107" s="168"/>
      <c r="C107" s="168"/>
      <c r="D107" s="168"/>
      <c r="E107" s="168"/>
      <c r="F107" s="168"/>
      <c r="G107" s="168"/>
      <c r="N107" s="605">
        <f t="shared" ref="N107:N109" si="0">N13-M13</f>
        <v>30</v>
      </c>
    </row>
    <row r="108" spans="1:32" x14ac:dyDescent="0.3">
      <c r="N108" s="605">
        <f t="shared" si="0"/>
        <v>0</v>
      </c>
    </row>
    <row r="109" spans="1:32" x14ac:dyDescent="0.3">
      <c r="N109" s="605">
        <f t="shared" si="0"/>
        <v>30</v>
      </c>
    </row>
    <row r="110" spans="1:32" x14ac:dyDescent="0.3">
      <c r="A110" s="259"/>
      <c r="B110" s="259"/>
      <c r="C110" s="260"/>
      <c r="D110" s="261"/>
      <c r="E110" s="260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262"/>
      <c r="R110" s="183"/>
      <c r="S110" s="183"/>
      <c r="T110" s="183"/>
      <c r="U110" s="183"/>
      <c r="V110" s="183"/>
      <c r="W110" s="184"/>
      <c r="X110" s="184"/>
      <c r="Y110" s="184"/>
      <c r="Z110" s="184"/>
      <c r="AA110" s="184"/>
      <c r="AB110" s="184"/>
    </row>
    <row r="111" spans="1:32" x14ac:dyDescent="0.3">
      <c r="A111" s="206"/>
      <c r="B111" s="858"/>
      <c r="C111" s="858"/>
      <c r="D111" s="858"/>
      <c r="E111" s="858"/>
      <c r="F111" s="858"/>
      <c r="G111" s="858"/>
      <c r="H111" s="858"/>
      <c r="I111" s="858"/>
      <c r="J111" s="858"/>
      <c r="K111" s="858"/>
      <c r="L111" s="858"/>
      <c r="M111" s="858"/>
      <c r="N111" s="858"/>
      <c r="O111" s="858"/>
      <c r="P111" s="858"/>
      <c r="Q111" s="858"/>
      <c r="R111" s="858"/>
      <c r="S111" s="858"/>
      <c r="T111" s="858"/>
      <c r="U111" s="858"/>
      <c r="V111" s="858"/>
      <c r="W111" s="858"/>
      <c r="X111" s="858"/>
      <c r="Y111" s="209"/>
      <c r="Z111" s="209"/>
      <c r="AA111" s="209"/>
      <c r="AB111" s="209"/>
      <c r="AC111" s="209"/>
      <c r="AD111" s="209"/>
      <c r="AE111" s="209"/>
      <c r="AF111" s="209"/>
    </row>
    <row r="112" spans="1:32" x14ac:dyDescent="0.3">
      <c r="A112" s="206"/>
      <c r="B112" s="858"/>
      <c r="C112" s="858"/>
      <c r="D112" s="858"/>
      <c r="E112" s="858"/>
      <c r="F112" s="858"/>
      <c r="G112" s="858"/>
      <c r="H112" s="858"/>
      <c r="I112" s="858"/>
      <c r="J112" s="858"/>
      <c r="K112" s="858"/>
      <c r="L112" s="858"/>
      <c r="M112" s="858"/>
      <c r="N112" s="858"/>
      <c r="O112" s="858"/>
      <c r="P112" s="858"/>
      <c r="Q112" s="858"/>
      <c r="R112" s="858"/>
      <c r="S112" s="858"/>
      <c r="T112" s="858"/>
      <c r="U112" s="858"/>
      <c r="V112" s="858"/>
      <c r="W112" s="858"/>
      <c r="X112" s="858"/>
      <c r="Y112" s="209"/>
      <c r="Z112" s="209"/>
      <c r="AA112" s="209"/>
      <c r="AB112" s="209"/>
      <c r="AC112" s="209"/>
      <c r="AD112" s="209"/>
      <c r="AE112" s="209"/>
      <c r="AF112" s="209"/>
    </row>
    <row r="113" spans="1:32" x14ac:dyDescent="0.3">
      <c r="A113" s="206"/>
      <c r="B113" s="858"/>
      <c r="C113" s="858"/>
      <c r="D113" s="858"/>
      <c r="E113" s="858"/>
      <c r="F113" s="858"/>
      <c r="G113" s="858"/>
      <c r="H113" s="858"/>
      <c r="I113" s="858"/>
      <c r="J113" s="858"/>
      <c r="K113" s="858"/>
      <c r="L113" s="858"/>
      <c r="M113" s="858"/>
      <c r="N113" s="858"/>
      <c r="O113" s="858"/>
      <c r="P113" s="858"/>
      <c r="Q113" s="858"/>
      <c r="R113" s="858"/>
      <c r="S113" s="858"/>
      <c r="T113" s="858"/>
      <c r="U113" s="858"/>
      <c r="V113" s="858"/>
      <c r="W113" s="858"/>
      <c r="X113" s="858"/>
      <c r="Y113" s="209"/>
      <c r="Z113" s="209"/>
      <c r="AA113" s="209"/>
      <c r="AB113" s="209"/>
      <c r="AC113" s="209"/>
      <c r="AD113" s="209"/>
      <c r="AE113" s="209"/>
      <c r="AF113" s="209"/>
    </row>
    <row r="114" spans="1:32" x14ac:dyDescent="0.3">
      <c r="A114" s="898"/>
      <c r="B114" s="898"/>
      <c r="C114" s="898"/>
      <c r="D114" s="898"/>
      <c r="E114" s="898"/>
      <c r="F114" s="898"/>
      <c r="G114" s="898"/>
      <c r="H114" s="898"/>
      <c r="I114" s="898"/>
      <c r="J114" s="896"/>
      <c r="K114" s="896"/>
      <c r="L114" s="896"/>
      <c r="M114" s="896"/>
      <c r="N114" s="895"/>
      <c r="O114" s="896"/>
      <c r="P114" s="896"/>
      <c r="Q114" s="896"/>
      <c r="R114" s="896"/>
      <c r="S114" s="896"/>
      <c r="T114" s="896"/>
      <c r="U114" s="896"/>
      <c r="V114" s="896"/>
      <c r="W114" s="896"/>
      <c r="X114" s="895"/>
      <c r="Y114" s="896"/>
      <c r="Z114" s="896"/>
      <c r="AA114" s="896"/>
      <c r="AB114" s="895"/>
      <c r="AC114" s="897"/>
      <c r="AD114" s="897"/>
      <c r="AE114" s="897"/>
      <c r="AF114" s="897"/>
    </row>
    <row r="115" spans="1:32" x14ac:dyDescent="0.3">
      <c r="A115" s="897"/>
      <c r="B115" s="897"/>
      <c r="C115" s="207"/>
      <c r="D115" s="263"/>
      <c r="E115" s="897"/>
      <c r="F115" s="897"/>
      <c r="G115" s="897"/>
      <c r="H115" s="896"/>
      <c r="I115" s="896"/>
      <c r="J115" s="896"/>
      <c r="K115" s="896"/>
      <c r="L115" s="896"/>
      <c r="M115" s="896"/>
      <c r="N115" s="895"/>
      <c r="O115" s="896"/>
      <c r="P115" s="896"/>
      <c r="Q115" s="896"/>
      <c r="R115" s="896"/>
      <c r="S115" s="896"/>
      <c r="T115" s="896"/>
      <c r="U115" s="896"/>
      <c r="V115" s="896"/>
      <c r="W115" s="896"/>
      <c r="X115" s="895"/>
      <c r="Y115" s="896"/>
      <c r="Z115" s="896"/>
      <c r="AA115" s="896"/>
      <c r="AB115" s="895"/>
      <c r="AC115" s="897"/>
      <c r="AD115" s="897"/>
      <c r="AE115" s="897"/>
      <c r="AF115" s="897"/>
    </row>
    <row r="116" spans="1:32" x14ac:dyDescent="0.3">
      <c r="A116" s="264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895"/>
      <c r="O116" s="265"/>
      <c r="P116" s="265"/>
      <c r="Q116" s="265"/>
      <c r="R116" s="265"/>
      <c r="S116" s="265"/>
      <c r="T116" s="265"/>
      <c r="U116" s="265"/>
      <c r="V116" s="265"/>
      <c r="W116" s="265"/>
      <c r="X116" s="895"/>
      <c r="Y116" s="265"/>
      <c r="Z116" s="265"/>
      <c r="AA116" s="265"/>
      <c r="AB116" s="895"/>
      <c r="AC116" s="265"/>
      <c r="AD116" s="265"/>
      <c r="AE116" s="265"/>
      <c r="AF116" s="265"/>
    </row>
    <row r="117" spans="1:32" x14ac:dyDescent="0.3">
      <c r="A117" s="898"/>
      <c r="B117" s="898"/>
      <c r="C117" s="898"/>
      <c r="D117" s="898"/>
      <c r="E117" s="898"/>
      <c r="F117" s="898"/>
      <c r="G117" s="898"/>
      <c r="H117" s="898"/>
      <c r="I117" s="898"/>
      <c r="J117" s="898"/>
      <c r="K117" s="898"/>
      <c r="L117" s="898"/>
      <c r="M117" s="898"/>
      <c r="N117" s="898"/>
      <c r="O117" s="898"/>
      <c r="P117" s="898"/>
      <c r="Q117" s="898"/>
      <c r="R117" s="898"/>
      <c r="S117" s="898"/>
      <c r="T117" s="898"/>
      <c r="U117" s="898"/>
      <c r="V117" s="898"/>
      <c r="W117" s="898"/>
      <c r="X117" s="898"/>
      <c r="Y117" s="898"/>
      <c r="Z117" s="898"/>
      <c r="AA117" s="898"/>
      <c r="AB117" s="898"/>
      <c r="AC117" s="898"/>
      <c r="AD117" s="898"/>
      <c r="AE117" s="898"/>
      <c r="AF117" s="898"/>
    </row>
    <row r="118" spans="1:32" x14ac:dyDescent="0.3">
      <c r="A118" s="901"/>
      <c r="B118" s="902"/>
      <c r="C118" s="903"/>
      <c r="D118" s="899"/>
      <c r="E118" s="900"/>
      <c r="F118" s="900"/>
      <c r="G118" s="266"/>
      <c r="H118" s="209"/>
      <c r="I118" s="209"/>
      <c r="J118" s="209"/>
      <c r="K118" s="209"/>
      <c r="L118" s="209"/>
      <c r="M118" s="209"/>
      <c r="N118" s="266"/>
      <c r="O118" s="209"/>
      <c r="P118" s="209"/>
      <c r="Q118" s="209"/>
      <c r="R118" s="209"/>
      <c r="S118" s="209"/>
      <c r="T118" s="209"/>
      <c r="U118" s="209"/>
      <c r="V118" s="209"/>
      <c r="W118" s="209"/>
      <c r="X118" s="266"/>
      <c r="Y118" s="209"/>
      <c r="Z118" s="209"/>
      <c r="AA118" s="209"/>
      <c r="AB118" s="266"/>
      <c r="AC118" s="267"/>
      <c r="AD118" s="267"/>
      <c r="AE118" s="267"/>
      <c r="AF118" s="268"/>
    </row>
    <row r="119" spans="1:32" x14ac:dyDescent="0.3">
      <c r="A119" s="901"/>
      <c r="B119" s="902"/>
      <c r="C119" s="903"/>
      <c r="D119" s="899"/>
      <c r="E119" s="900"/>
      <c r="F119" s="900"/>
      <c r="G119" s="266"/>
      <c r="H119" s="267"/>
      <c r="I119" s="267"/>
      <c r="J119" s="267"/>
      <c r="K119" s="267"/>
      <c r="L119" s="267"/>
      <c r="M119" s="267"/>
      <c r="N119" s="266"/>
      <c r="O119" s="267"/>
      <c r="P119" s="267"/>
      <c r="Q119" s="267"/>
      <c r="R119" s="267"/>
      <c r="S119" s="267"/>
      <c r="T119" s="267"/>
      <c r="U119" s="267"/>
      <c r="V119" s="267"/>
      <c r="W119" s="267"/>
      <c r="X119" s="266"/>
      <c r="Y119" s="268"/>
      <c r="Z119" s="267"/>
      <c r="AA119" s="267"/>
      <c r="AB119" s="266"/>
      <c r="AC119" s="269"/>
      <c r="AD119" s="269"/>
      <c r="AE119" s="269"/>
      <c r="AF119" s="269"/>
    </row>
    <row r="120" spans="1:32" x14ac:dyDescent="0.3">
      <c r="A120" s="901"/>
      <c r="B120" s="209"/>
      <c r="C120" s="209"/>
      <c r="D120" s="209"/>
      <c r="E120" s="270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70"/>
      <c r="Z120" s="209"/>
      <c r="AA120" s="209"/>
      <c r="AB120" s="209"/>
      <c r="AC120" s="209"/>
      <c r="AD120" s="209"/>
      <c r="AE120" s="209"/>
      <c r="AF120" s="209"/>
    </row>
    <row r="121" spans="1:32" x14ac:dyDescent="0.3">
      <c r="A121" s="901"/>
      <c r="B121" s="902"/>
      <c r="C121" s="903"/>
      <c r="D121" s="271"/>
      <c r="E121" s="900"/>
      <c r="F121" s="900"/>
      <c r="G121" s="266"/>
      <c r="H121" s="209"/>
      <c r="I121" s="209"/>
      <c r="J121" s="209"/>
      <c r="K121" s="209"/>
      <c r="L121" s="209"/>
      <c r="M121" s="209"/>
      <c r="N121" s="266"/>
      <c r="O121" s="267"/>
      <c r="P121" s="267"/>
      <c r="Q121" s="267"/>
      <c r="R121" s="267"/>
      <c r="S121" s="267"/>
      <c r="T121" s="267"/>
      <c r="U121" s="267"/>
      <c r="V121" s="267"/>
      <c r="W121" s="267"/>
      <c r="X121" s="266"/>
      <c r="Y121" s="209"/>
      <c r="Z121" s="267"/>
      <c r="AA121" s="267"/>
      <c r="AB121" s="266"/>
      <c r="AC121" s="267"/>
      <c r="AD121" s="267"/>
      <c r="AE121" s="267"/>
      <c r="AF121" s="268"/>
    </row>
    <row r="122" spans="1:32" x14ac:dyDescent="0.3">
      <c r="A122" s="901"/>
      <c r="B122" s="902"/>
      <c r="C122" s="903"/>
      <c r="D122" s="271"/>
      <c r="E122" s="900"/>
      <c r="F122" s="900"/>
      <c r="G122" s="266"/>
      <c r="H122" s="267"/>
      <c r="I122" s="267"/>
      <c r="J122" s="267"/>
      <c r="K122" s="267"/>
      <c r="L122" s="267"/>
      <c r="M122" s="267"/>
      <c r="N122" s="266"/>
      <c r="O122" s="269"/>
      <c r="P122" s="269"/>
      <c r="Q122" s="269"/>
      <c r="R122" s="269"/>
      <c r="S122" s="269"/>
      <c r="T122" s="269"/>
      <c r="U122" s="269"/>
      <c r="V122" s="269"/>
      <c r="W122" s="269"/>
      <c r="X122" s="266"/>
      <c r="Y122" s="268"/>
      <c r="Z122" s="269"/>
      <c r="AA122" s="269"/>
      <c r="AB122" s="266"/>
      <c r="AC122" s="269"/>
      <c r="AD122" s="269"/>
      <c r="AE122" s="269"/>
      <c r="AF122" s="269"/>
    </row>
    <row r="123" spans="1:32" x14ac:dyDescent="0.3">
      <c r="A123" s="901"/>
      <c r="B123" s="209"/>
      <c r="C123" s="209"/>
      <c r="D123" s="209"/>
      <c r="E123" s="270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70"/>
      <c r="Z123" s="209"/>
      <c r="AA123" s="209"/>
      <c r="AB123" s="209"/>
      <c r="AC123" s="209"/>
      <c r="AD123" s="209"/>
      <c r="AE123" s="209"/>
      <c r="AF123" s="209"/>
    </row>
    <row r="124" spans="1:32" x14ac:dyDescent="0.3">
      <c r="A124" s="901"/>
      <c r="B124" s="902"/>
      <c r="C124" s="903"/>
      <c r="D124" s="899"/>
      <c r="E124" s="900"/>
      <c r="F124" s="900"/>
      <c r="G124" s="266"/>
      <c r="H124" s="272"/>
      <c r="I124" s="267"/>
      <c r="J124" s="267"/>
      <c r="K124" s="267"/>
      <c r="L124" s="267"/>
      <c r="M124" s="267"/>
      <c r="N124" s="266"/>
      <c r="O124" s="267"/>
      <c r="P124" s="267"/>
      <c r="Q124" s="267"/>
      <c r="R124" s="267"/>
      <c r="S124" s="267"/>
      <c r="T124" s="267"/>
      <c r="U124" s="267"/>
      <c r="V124" s="267"/>
      <c r="W124" s="267"/>
      <c r="X124" s="266"/>
      <c r="Y124" s="268"/>
      <c r="Z124" s="267"/>
      <c r="AA124" s="267"/>
      <c r="AB124" s="266"/>
      <c r="AC124" s="267"/>
      <c r="AD124" s="267"/>
      <c r="AE124" s="267"/>
      <c r="AF124" s="268"/>
    </row>
    <row r="125" spans="1:32" x14ac:dyDescent="0.3">
      <c r="A125" s="901"/>
      <c r="B125" s="902"/>
      <c r="C125" s="903"/>
      <c r="D125" s="899"/>
      <c r="E125" s="900"/>
      <c r="F125" s="900"/>
      <c r="G125" s="266"/>
      <c r="H125" s="269"/>
      <c r="I125" s="269"/>
      <c r="J125" s="269"/>
      <c r="K125" s="269"/>
      <c r="L125" s="269"/>
      <c r="M125" s="269"/>
      <c r="N125" s="266"/>
      <c r="O125" s="269"/>
      <c r="P125" s="269"/>
      <c r="Q125" s="269"/>
      <c r="R125" s="269"/>
      <c r="S125" s="269"/>
      <c r="T125" s="269"/>
      <c r="U125" s="269"/>
      <c r="V125" s="269"/>
      <c r="W125" s="269"/>
      <c r="X125" s="266"/>
      <c r="Y125" s="268"/>
      <c r="Z125" s="269"/>
      <c r="AA125" s="269"/>
      <c r="AB125" s="266"/>
      <c r="AC125" s="269"/>
      <c r="AD125" s="269"/>
      <c r="AE125" s="269"/>
      <c r="AF125" s="269"/>
    </row>
    <row r="126" spans="1:32" x14ac:dyDescent="0.3">
      <c r="A126" s="901"/>
      <c r="B126" s="209"/>
      <c r="C126" s="209"/>
      <c r="D126" s="209"/>
      <c r="E126" s="270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70"/>
      <c r="Z126" s="209"/>
      <c r="AA126" s="209"/>
      <c r="AB126" s="209"/>
      <c r="AC126" s="209"/>
      <c r="AD126" s="209"/>
      <c r="AE126" s="209"/>
      <c r="AF126" s="209"/>
    </row>
    <row r="127" spans="1:32" x14ac:dyDescent="0.3">
      <c r="A127" s="901"/>
      <c r="B127" s="902"/>
      <c r="C127" s="903"/>
      <c r="D127" s="899"/>
      <c r="E127" s="900"/>
      <c r="F127" s="900"/>
      <c r="G127" s="266"/>
      <c r="H127" s="272"/>
      <c r="I127" s="267"/>
      <c r="J127" s="267"/>
      <c r="K127" s="267"/>
      <c r="L127" s="267"/>
      <c r="M127" s="267"/>
      <c r="N127" s="266"/>
      <c r="O127" s="267"/>
      <c r="P127" s="267"/>
      <c r="Q127" s="267"/>
      <c r="R127" s="267"/>
      <c r="S127" s="267"/>
      <c r="T127" s="267"/>
      <c r="U127" s="267"/>
      <c r="V127" s="267"/>
      <c r="W127" s="267"/>
      <c r="X127" s="266"/>
      <c r="Y127" s="268"/>
      <c r="Z127" s="267"/>
      <c r="AA127" s="267"/>
      <c r="AB127" s="266"/>
      <c r="AC127" s="267"/>
      <c r="AD127" s="267"/>
      <c r="AE127" s="267"/>
      <c r="AF127" s="268"/>
    </row>
    <row r="128" spans="1:32" x14ac:dyDescent="0.3">
      <c r="A128" s="901"/>
      <c r="B128" s="902"/>
      <c r="C128" s="903"/>
      <c r="D128" s="899"/>
      <c r="E128" s="900"/>
      <c r="F128" s="900"/>
      <c r="G128" s="266"/>
      <c r="H128" s="269"/>
      <c r="I128" s="269"/>
      <c r="J128" s="269"/>
      <c r="K128" s="269"/>
      <c r="L128" s="269"/>
      <c r="M128" s="269"/>
      <c r="N128" s="266"/>
      <c r="O128" s="269"/>
      <c r="P128" s="269"/>
      <c r="Q128" s="269"/>
      <c r="R128" s="269"/>
      <c r="S128" s="269"/>
      <c r="T128" s="269"/>
      <c r="U128" s="269"/>
      <c r="V128" s="269"/>
      <c r="W128" s="269"/>
      <c r="X128" s="266"/>
      <c r="Y128" s="268"/>
      <c r="Z128" s="269"/>
      <c r="AA128" s="269"/>
      <c r="AB128" s="266"/>
      <c r="AC128" s="269"/>
      <c r="AD128" s="269"/>
      <c r="AE128" s="269"/>
      <c r="AF128" s="269"/>
    </row>
    <row r="129" spans="1:32" x14ac:dyDescent="0.3">
      <c r="A129" s="901"/>
      <c r="B129" s="209"/>
      <c r="C129" s="209"/>
      <c r="D129" s="209"/>
      <c r="E129" s="270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70"/>
      <c r="Z129" s="209"/>
      <c r="AA129" s="209"/>
      <c r="AB129" s="209"/>
      <c r="AC129" s="209"/>
      <c r="AD129" s="209"/>
      <c r="AE129" s="209"/>
      <c r="AF129" s="209"/>
    </row>
    <row r="130" spans="1:32" x14ac:dyDescent="0.3">
      <c r="A130" s="897"/>
      <c r="B130" s="897"/>
      <c r="C130" s="897"/>
      <c r="D130" s="897"/>
      <c r="E130" s="273"/>
      <c r="F130" s="209"/>
      <c r="G130" s="266"/>
      <c r="H130" s="209"/>
      <c r="I130" s="209"/>
      <c r="J130" s="209"/>
      <c r="K130" s="209"/>
      <c r="L130" s="209"/>
      <c r="M130" s="209"/>
      <c r="N130" s="266"/>
      <c r="O130" s="209"/>
      <c r="P130" s="209"/>
      <c r="Q130" s="209"/>
      <c r="R130" s="209"/>
      <c r="S130" s="209"/>
      <c r="T130" s="209"/>
      <c r="U130" s="209"/>
      <c r="V130" s="209"/>
      <c r="W130" s="209"/>
      <c r="X130" s="266"/>
      <c r="Y130" s="274"/>
      <c r="Z130" s="209"/>
      <c r="AA130" s="209"/>
      <c r="AB130" s="266"/>
      <c r="AC130" s="209"/>
      <c r="AD130" s="209"/>
      <c r="AE130" s="209"/>
      <c r="AF130" s="209"/>
    </row>
    <row r="131" spans="1:32" x14ac:dyDescent="0.3">
      <c r="A131" s="209"/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</row>
    <row r="132" spans="1:32" x14ac:dyDescent="0.3">
      <c r="A132" s="209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</row>
    <row r="133" spans="1:32" x14ac:dyDescent="0.3">
      <c r="A133" s="209"/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</row>
    <row r="134" spans="1:32" x14ac:dyDescent="0.3">
      <c r="A134" s="209"/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</row>
    <row r="135" spans="1:32" x14ac:dyDescent="0.3">
      <c r="A135" s="209"/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</row>
    <row r="136" spans="1:32" x14ac:dyDescent="0.3">
      <c r="A136" s="209"/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</row>
    <row r="137" spans="1:32" x14ac:dyDescent="0.3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</row>
    <row r="138" spans="1:32" x14ac:dyDescent="0.3">
      <c r="A138" s="209"/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</row>
    <row r="139" spans="1:32" x14ac:dyDescent="0.3">
      <c r="A139" s="209"/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</row>
    <row r="140" spans="1:32" x14ac:dyDescent="0.3">
      <c r="A140" s="209"/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</row>
    <row r="141" spans="1:32" x14ac:dyDescent="0.3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</row>
    <row r="142" spans="1:32" x14ac:dyDescent="0.3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</row>
    <row r="143" spans="1:32" x14ac:dyDescent="0.3">
      <c r="A143" s="209"/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</row>
    <row r="144" spans="1:32" x14ac:dyDescent="0.3">
      <c r="A144" s="209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</row>
    <row r="145" spans="1:32" x14ac:dyDescent="0.3">
      <c r="A145" s="209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</row>
    <row r="146" spans="1:32" x14ac:dyDescent="0.3">
      <c r="A146" s="209"/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</row>
    <row r="147" spans="1:32" x14ac:dyDescent="0.3">
      <c r="W147" s="275"/>
    </row>
    <row r="148" spans="1:32" x14ac:dyDescent="0.3">
      <c r="W148" s="275"/>
    </row>
    <row r="149" spans="1:32" x14ac:dyDescent="0.3">
      <c r="W149" s="275"/>
    </row>
    <row r="150" spans="1:32" x14ac:dyDescent="0.3">
      <c r="W150" s="275"/>
    </row>
    <row r="151" spans="1:32" x14ac:dyDescent="0.3">
      <c r="W151" s="275"/>
    </row>
    <row r="152" spans="1:32" x14ac:dyDescent="0.3">
      <c r="W152" s="275"/>
    </row>
    <row r="153" spans="1:32" x14ac:dyDescent="0.3">
      <c r="W153" s="275"/>
    </row>
    <row r="154" spans="1:32" x14ac:dyDescent="0.3">
      <c r="W154" s="275"/>
    </row>
    <row r="155" spans="1:32" x14ac:dyDescent="0.3">
      <c r="W155" s="275"/>
    </row>
    <row r="156" spans="1:32" x14ac:dyDescent="0.3">
      <c r="W156" s="275"/>
    </row>
    <row r="157" spans="1:32" x14ac:dyDescent="0.3">
      <c r="W157" s="275"/>
    </row>
    <row r="158" spans="1:32" x14ac:dyDescent="0.3">
      <c r="W158" s="275"/>
    </row>
    <row r="159" spans="1:32" x14ac:dyDescent="0.3">
      <c r="W159" s="275"/>
    </row>
    <row r="160" spans="1:32" x14ac:dyDescent="0.3">
      <c r="W160" s="275"/>
    </row>
    <row r="161" spans="23:23" x14ac:dyDescent="0.3">
      <c r="W161" s="275"/>
    </row>
    <row r="162" spans="23:23" x14ac:dyDescent="0.3">
      <c r="W162" s="275"/>
    </row>
    <row r="163" spans="23:23" x14ac:dyDescent="0.3">
      <c r="W163" s="275"/>
    </row>
    <row r="164" spans="23:23" x14ac:dyDescent="0.3">
      <c r="W164" s="275"/>
    </row>
    <row r="165" spans="23:23" x14ac:dyDescent="0.3">
      <c r="W165" s="275"/>
    </row>
    <row r="166" spans="23:23" x14ac:dyDescent="0.3">
      <c r="W166" s="275"/>
    </row>
    <row r="167" spans="23:23" x14ac:dyDescent="0.3">
      <c r="W167" s="275"/>
    </row>
    <row r="168" spans="23:23" x14ac:dyDescent="0.3">
      <c r="W168" s="275"/>
    </row>
    <row r="169" spans="23:23" x14ac:dyDescent="0.3">
      <c r="W169" s="275"/>
    </row>
    <row r="170" spans="23:23" x14ac:dyDescent="0.3">
      <c r="W170" s="275"/>
    </row>
    <row r="171" spans="23:23" x14ac:dyDescent="0.3">
      <c r="W171" s="275"/>
    </row>
    <row r="172" spans="23:23" x14ac:dyDescent="0.3">
      <c r="W172" s="275"/>
    </row>
    <row r="173" spans="23:23" x14ac:dyDescent="0.3">
      <c r="W173" s="275"/>
    </row>
    <row r="174" spans="23:23" x14ac:dyDescent="0.3">
      <c r="W174" s="275"/>
    </row>
    <row r="175" spans="23:23" x14ac:dyDescent="0.3">
      <c r="W175" s="275"/>
    </row>
    <row r="176" spans="23:23" x14ac:dyDescent="0.3">
      <c r="W176" s="275"/>
    </row>
    <row r="177" spans="23:23" x14ac:dyDescent="0.3">
      <c r="W177" s="275"/>
    </row>
    <row r="178" spans="23:23" x14ac:dyDescent="0.3">
      <c r="W178" s="275"/>
    </row>
    <row r="179" spans="23:23" x14ac:dyDescent="0.3">
      <c r="W179" s="275"/>
    </row>
    <row r="180" spans="23:23" x14ac:dyDescent="0.3">
      <c r="W180" s="275"/>
    </row>
    <row r="181" spans="23:23" x14ac:dyDescent="0.3">
      <c r="W181" s="275"/>
    </row>
    <row r="182" spans="23:23" x14ac:dyDescent="0.3">
      <c r="W182" s="275"/>
    </row>
    <row r="183" spans="23:23" x14ac:dyDescent="0.3">
      <c r="W183" s="275"/>
    </row>
    <row r="184" spans="23:23" x14ac:dyDescent="0.3">
      <c r="W184" s="275"/>
    </row>
    <row r="185" spans="23:23" x14ac:dyDescent="0.3">
      <c r="W185" s="275"/>
    </row>
    <row r="186" spans="23:23" x14ac:dyDescent="0.3">
      <c r="W186" s="275"/>
    </row>
    <row r="187" spans="23:23" x14ac:dyDescent="0.3">
      <c r="W187" s="275"/>
    </row>
    <row r="188" spans="23:23" x14ac:dyDescent="0.3">
      <c r="W188" s="275"/>
    </row>
    <row r="189" spans="23:23" x14ac:dyDescent="0.3">
      <c r="W189" s="275"/>
    </row>
    <row r="190" spans="23:23" x14ac:dyDescent="0.3">
      <c r="W190" s="275"/>
    </row>
    <row r="191" spans="23:23" x14ac:dyDescent="0.3">
      <c r="W191" s="275"/>
    </row>
    <row r="192" spans="23:23" x14ac:dyDescent="0.3">
      <c r="W192" s="275"/>
    </row>
    <row r="193" spans="23:23" x14ac:dyDescent="0.3">
      <c r="W193" s="275"/>
    </row>
    <row r="194" spans="23:23" x14ac:dyDescent="0.3">
      <c r="W194" s="275"/>
    </row>
    <row r="195" spans="23:23" x14ac:dyDescent="0.3">
      <c r="W195" s="275"/>
    </row>
    <row r="196" spans="23:23" x14ac:dyDescent="0.3">
      <c r="W196" s="275"/>
    </row>
    <row r="197" spans="23:23" x14ac:dyDescent="0.3">
      <c r="W197" s="275"/>
    </row>
    <row r="198" spans="23:23" x14ac:dyDescent="0.3">
      <c r="W198" s="275"/>
    </row>
    <row r="199" spans="23:23" x14ac:dyDescent="0.3">
      <c r="W199" s="275"/>
    </row>
    <row r="200" spans="23:23" x14ac:dyDescent="0.3">
      <c r="W200" s="275"/>
    </row>
    <row r="201" spans="23:23" x14ac:dyDescent="0.3">
      <c r="W201" s="275"/>
    </row>
    <row r="202" spans="23:23" x14ac:dyDescent="0.3">
      <c r="W202" s="275"/>
    </row>
    <row r="203" spans="23:23" x14ac:dyDescent="0.3">
      <c r="W203" s="275"/>
    </row>
    <row r="204" spans="23:23" x14ac:dyDescent="0.3">
      <c r="W204" s="275"/>
    </row>
    <row r="205" spans="23:23" x14ac:dyDescent="0.3">
      <c r="W205" s="275"/>
    </row>
    <row r="206" spans="23:23" x14ac:dyDescent="0.3">
      <c r="W206" s="275"/>
    </row>
    <row r="207" spans="23:23" x14ac:dyDescent="0.3">
      <c r="W207" s="275"/>
    </row>
    <row r="208" spans="23:23" x14ac:dyDescent="0.3">
      <c r="W208" s="275"/>
    </row>
    <row r="209" spans="23:23" x14ac:dyDescent="0.3">
      <c r="W209" s="275"/>
    </row>
    <row r="210" spans="23:23" x14ac:dyDescent="0.3">
      <c r="W210" s="275"/>
    </row>
    <row r="211" spans="23:23" x14ac:dyDescent="0.3">
      <c r="W211" s="275"/>
    </row>
    <row r="212" spans="23:23" x14ac:dyDescent="0.3">
      <c r="W212" s="275"/>
    </row>
    <row r="213" spans="23:23" x14ac:dyDescent="0.3">
      <c r="W213" s="275"/>
    </row>
    <row r="214" spans="23:23" x14ac:dyDescent="0.3">
      <c r="W214" s="275"/>
    </row>
    <row r="215" spans="23:23" x14ac:dyDescent="0.3">
      <c r="W215" s="275"/>
    </row>
    <row r="216" spans="23:23" x14ac:dyDescent="0.3">
      <c r="W216" s="275"/>
    </row>
    <row r="217" spans="23:23" x14ac:dyDescent="0.3">
      <c r="W217" s="275"/>
    </row>
    <row r="218" spans="23:23" x14ac:dyDescent="0.3">
      <c r="W218" s="275"/>
    </row>
    <row r="219" spans="23:23" x14ac:dyDescent="0.3">
      <c r="W219" s="275"/>
    </row>
    <row r="220" spans="23:23" x14ac:dyDescent="0.3">
      <c r="W220" s="275"/>
    </row>
    <row r="221" spans="23:23" x14ac:dyDescent="0.3">
      <c r="W221" s="275"/>
    </row>
    <row r="222" spans="23:23" x14ac:dyDescent="0.3">
      <c r="W222" s="275"/>
    </row>
    <row r="223" spans="23:23" x14ac:dyDescent="0.3">
      <c r="W223" s="275"/>
    </row>
    <row r="224" spans="23:23" x14ac:dyDescent="0.3">
      <c r="W224" s="275"/>
    </row>
    <row r="225" spans="23:23" x14ac:dyDescent="0.3">
      <c r="W225" s="275"/>
    </row>
    <row r="226" spans="23:23" x14ac:dyDescent="0.3">
      <c r="W226" s="275"/>
    </row>
    <row r="227" spans="23:23" x14ac:dyDescent="0.3">
      <c r="W227" s="275"/>
    </row>
    <row r="228" spans="23:23" x14ac:dyDescent="0.3">
      <c r="W228" s="275"/>
    </row>
    <row r="229" spans="23:23" x14ac:dyDescent="0.3">
      <c r="W229" s="275"/>
    </row>
    <row r="230" spans="23:23" x14ac:dyDescent="0.3">
      <c r="W230" s="275"/>
    </row>
    <row r="231" spans="23:23" x14ac:dyDescent="0.3">
      <c r="W231" s="275"/>
    </row>
    <row r="232" spans="23:23" x14ac:dyDescent="0.3">
      <c r="W232" s="275"/>
    </row>
    <row r="233" spans="23:23" x14ac:dyDescent="0.3">
      <c r="W233" s="275"/>
    </row>
    <row r="234" spans="23:23" x14ac:dyDescent="0.3">
      <c r="W234" s="275"/>
    </row>
    <row r="235" spans="23:23" x14ac:dyDescent="0.3">
      <c r="W235" s="275"/>
    </row>
    <row r="236" spans="23:23" x14ac:dyDescent="0.3">
      <c r="W236" s="275"/>
    </row>
    <row r="237" spans="23:23" x14ac:dyDescent="0.3">
      <c r="W237" s="275"/>
    </row>
    <row r="238" spans="23:23" x14ac:dyDescent="0.3">
      <c r="W238" s="275"/>
    </row>
    <row r="239" spans="23:23" x14ac:dyDescent="0.3">
      <c r="W239" s="275"/>
    </row>
    <row r="240" spans="23:23" x14ac:dyDescent="0.3">
      <c r="W240" s="275"/>
    </row>
    <row r="241" spans="23:23" x14ac:dyDescent="0.3">
      <c r="W241" s="275"/>
    </row>
    <row r="242" spans="23:23" x14ac:dyDescent="0.3">
      <c r="W242" s="275"/>
    </row>
    <row r="243" spans="23:23" x14ac:dyDescent="0.3">
      <c r="W243" s="275"/>
    </row>
    <row r="244" spans="23:23" x14ac:dyDescent="0.3">
      <c r="W244" s="275"/>
    </row>
    <row r="245" spans="23:23" x14ac:dyDescent="0.3">
      <c r="W245" s="275"/>
    </row>
    <row r="246" spans="23:23" x14ac:dyDescent="0.3">
      <c r="W246" s="275"/>
    </row>
    <row r="247" spans="23:23" x14ac:dyDescent="0.3">
      <c r="W247" s="275"/>
    </row>
    <row r="248" spans="23:23" x14ac:dyDescent="0.3">
      <c r="W248" s="275"/>
    </row>
    <row r="249" spans="23:23" x14ac:dyDescent="0.3">
      <c r="W249" s="275"/>
    </row>
    <row r="250" spans="23:23" x14ac:dyDescent="0.3">
      <c r="W250" s="275"/>
    </row>
    <row r="251" spans="23:23" x14ac:dyDescent="0.3">
      <c r="W251" s="275"/>
    </row>
    <row r="252" spans="23:23" x14ac:dyDescent="0.3">
      <c r="W252" s="275"/>
    </row>
    <row r="253" spans="23:23" x14ac:dyDescent="0.3">
      <c r="W253" s="275"/>
    </row>
    <row r="254" spans="23:23" x14ac:dyDescent="0.3">
      <c r="W254" s="275"/>
    </row>
    <row r="255" spans="23:23" x14ac:dyDescent="0.3">
      <c r="W255" s="275"/>
    </row>
    <row r="256" spans="23:23" x14ac:dyDescent="0.3">
      <c r="W256" s="275"/>
    </row>
    <row r="257" spans="23:23" x14ac:dyDescent="0.3">
      <c r="W257" s="275"/>
    </row>
    <row r="258" spans="23:23" x14ac:dyDescent="0.3">
      <c r="W258" s="275"/>
    </row>
    <row r="259" spans="23:23" x14ac:dyDescent="0.3">
      <c r="W259" s="275"/>
    </row>
    <row r="260" spans="23:23" x14ac:dyDescent="0.3">
      <c r="W260" s="275"/>
    </row>
    <row r="261" spans="23:23" x14ac:dyDescent="0.3">
      <c r="W261" s="275"/>
    </row>
    <row r="262" spans="23:23" x14ac:dyDescent="0.3">
      <c r="W262" s="275"/>
    </row>
    <row r="263" spans="23:23" x14ac:dyDescent="0.3">
      <c r="W263" s="275"/>
    </row>
    <row r="264" spans="23:23" x14ac:dyDescent="0.3">
      <c r="W264" s="275"/>
    </row>
    <row r="265" spans="23:23" x14ac:dyDescent="0.3">
      <c r="W265" s="275"/>
    </row>
    <row r="266" spans="23:23" x14ac:dyDescent="0.3">
      <c r="W266" s="275"/>
    </row>
    <row r="267" spans="23:23" x14ac:dyDescent="0.3">
      <c r="W267" s="275"/>
    </row>
    <row r="268" spans="23:23" x14ac:dyDescent="0.3">
      <c r="W268" s="275"/>
    </row>
    <row r="269" spans="23:23" x14ac:dyDescent="0.3">
      <c r="W269" s="275"/>
    </row>
    <row r="270" spans="23:23" x14ac:dyDescent="0.3">
      <c r="W270" s="275"/>
    </row>
    <row r="271" spans="23:23" x14ac:dyDescent="0.3">
      <c r="W271" s="275"/>
    </row>
    <row r="272" spans="23:23" x14ac:dyDescent="0.3">
      <c r="W272" s="275"/>
    </row>
    <row r="273" spans="23:23" x14ac:dyDescent="0.3">
      <c r="W273" s="275"/>
    </row>
    <row r="274" spans="23:23" x14ac:dyDescent="0.3">
      <c r="W274" s="275"/>
    </row>
    <row r="275" spans="23:23" x14ac:dyDescent="0.3">
      <c r="W275" s="275"/>
    </row>
    <row r="276" spans="23:23" x14ac:dyDescent="0.3">
      <c r="W276" s="275"/>
    </row>
    <row r="277" spans="23:23" x14ac:dyDescent="0.3">
      <c r="W277" s="275"/>
    </row>
    <row r="278" spans="23:23" x14ac:dyDescent="0.3">
      <c r="W278" s="275"/>
    </row>
    <row r="279" spans="23:23" x14ac:dyDescent="0.3">
      <c r="W279" s="275"/>
    </row>
    <row r="280" spans="23:23" x14ac:dyDescent="0.3">
      <c r="W280" s="275"/>
    </row>
    <row r="281" spans="23:23" x14ac:dyDescent="0.3">
      <c r="W281" s="275"/>
    </row>
    <row r="282" spans="23:23" x14ac:dyDescent="0.3">
      <c r="W282" s="275"/>
    </row>
    <row r="283" spans="23:23" x14ac:dyDescent="0.3">
      <c r="W283" s="275"/>
    </row>
    <row r="284" spans="23:23" x14ac:dyDescent="0.3">
      <c r="W284" s="275"/>
    </row>
    <row r="285" spans="23:23" x14ac:dyDescent="0.3">
      <c r="W285" s="275"/>
    </row>
    <row r="286" spans="23:23" x14ac:dyDescent="0.3">
      <c r="W286" s="275"/>
    </row>
    <row r="287" spans="23:23" x14ac:dyDescent="0.3">
      <c r="W287" s="275"/>
    </row>
    <row r="288" spans="23:23" x14ac:dyDescent="0.3">
      <c r="W288" s="275"/>
    </row>
    <row r="289" spans="23:23" x14ac:dyDescent="0.3">
      <c r="W289" s="275"/>
    </row>
    <row r="290" spans="23:23" x14ac:dyDescent="0.3">
      <c r="W290" s="275"/>
    </row>
    <row r="291" spans="23:23" x14ac:dyDescent="0.3">
      <c r="W291" s="275"/>
    </row>
    <row r="292" spans="23:23" x14ac:dyDescent="0.3">
      <c r="W292" s="275"/>
    </row>
    <row r="293" spans="23:23" x14ac:dyDescent="0.3">
      <c r="W293" s="275"/>
    </row>
    <row r="294" spans="23:23" x14ac:dyDescent="0.3">
      <c r="W294" s="275"/>
    </row>
    <row r="295" spans="23:23" x14ac:dyDescent="0.3">
      <c r="W295" s="275"/>
    </row>
  </sheetData>
  <mergeCells count="289">
    <mergeCell ref="E93:E95"/>
    <mergeCell ref="F93:F95"/>
    <mergeCell ref="G93:G95"/>
    <mergeCell ref="H93:H95"/>
    <mergeCell ref="E71:E73"/>
    <mergeCell ref="F71:F73"/>
    <mergeCell ref="G71:G73"/>
    <mergeCell ref="H71:H73"/>
    <mergeCell ref="E82:E86"/>
    <mergeCell ref="F82:F86"/>
    <mergeCell ref="G82:G86"/>
    <mergeCell ref="H82:H86"/>
    <mergeCell ref="E90:E92"/>
    <mergeCell ref="F90:F92"/>
    <mergeCell ref="G90:G92"/>
    <mergeCell ref="H90:H92"/>
    <mergeCell ref="H74:H76"/>
    <mergeCell ref="G55:G57"/>
    <mergeCell ref="H55:H57"/>
    <mergeCell ref="C58:C60"/>
    <mergeCell ref="D58:D60"/>
    <mergeCell ref="E58:E60"/>
    <mergeCell ref="F58:F60"/>
    <mergeCell ref="G58:G60"/>
    <mergeCell ref="H58:H60"/>
    <mergeCell ref="E68:E70"/>
    <mergeCell ref="F68:F70"/>
    <mergeCell ref="G68:G70"/>
    <mergeCell ref="H68:H70"/>
    <mergeCell ref="H65:H67"/>
    <mergeCell ref="E43:E45"/>
    <mergeCell ref="F43:F45"/>
    <mergeCell ref="G43:G45"/>
    <mergeCell ref="H43:H45"/>
    <mergeCell ref="C46:C48"/>
    <mergeCell ref="D46:D48"/>
    <mergeCell ref="E46:E48"/>
    <mergeCell ref="F46:F48"/>
    <mergeCell ref="G46:G48"/>
    <mergeCell ref="H46:H48"/>
    <mergeCell ref="F34:F36"/>
    <mergeCell ref="G34:G36"/>
    <mergeCell ref="H34:H36"/>
    <mergeCell ref="C37:C39"/>
    <mergeCell ref="D37:D39"/>
    <mergeCell ref="E37:E39"/>
    <mergeCell ref="F37:F39"/>
    <mergeCell ref="G37:G39"/>
    <mergeCell ref="H37:H39"/>
    <mergeCell ref="H12:H14"/>
    <mergeCell ref="G15:G17"/>
    <mergeCell ref="H15:H17"/>
    <mergeCell ref="G18:G20"/>
    <mergeCell ref="H18:H20"/>
    <mergeCell ref="G21:G23"/>
    <mergeCell ref="H21:H23"/>
    <mergeCell ref="G24:G26"/>
    <mergeCell ref="H24:H26"/>
    <mergeCell ref="H8:H9"/>
    <mergeCell ref="G8:G9"/>
    <mergeCell ref="F8:F9"/>
    <mergeCell ref="E8:E9"/>
    <mergeCell ref="D8:D9"/>
    <mergeCell ref="C8:C9"/>
    <mergeCell ref="I6:I9"/>
    <mergeCell ref="A130:D130"/>
    <mergeCell ref="F124:F125"/>
    <mergeCell ref="A127:A129"/>
    <mergeCell ref="B127:B128"/>
    <mergeCell ref="C127:C128"/>
    <mergeCell ref="D127:D128"/>
    <mergeCell ref="E127:E128"/>
    <mergeCell ref="F127:F128"/>
    <mergeCell ref="A121:A123"/>
    <mergeCell ref="B121:B122"/>
    <mergeCell ref="C121:C122"/>
    <mergeCell ref="E121:E122"/>
    <mergeCell ref="F121:F122"/>
    <mergeCell ref="A124:A126"/>
    <mergeCell ref="B124:B125"/>
    <mergeCell ref="C124:C125"/>
    <mergeCell ref="G12:G14"/>
    <mergeCell ref="D124:D125"/>
    <mergeCell ref="E124:E125"/>
    <mergeCell ref="A117:AF117"/>
    <mergeCell ref="A118:A120"/>
    <mergeCell ref="B118:B119"/>
    <mergeCell ref="C118:C119"/>
    <mergeCell ref="D118:D119"/>
    <mergeCell ref="E118:E119"/>
    <mergeCell ref="F118:F119"/>
    <mergeCell ref="X114:X116"/>
    <mergeCell ref="Y114:AA115"/>
    <mergeCell ref="AB114:AB116"/>
    <mergeCell ref="AC114:AF115"/>
    <mergeCell ref="A115:B115"/>
    <mergeCell ref="E115:G115"/>
    <mergeCell ref="H115:I115"/>
    <mergeCell ref="A114:I114"/>
    <mergeCell ref="J114:K115"/>
    <mergeCell ref="L114:M115"/>
    <mergeCell ref="N114:N116"/>
    <mergeCell ref="O114:P115"/>
    <mergeCell ref="Q114:W115"/>
    <mergeCell ref="A102:E102"/>
    <mergeCell ref="B111:X111"/>
    <mergeCell ref="B112:X112"/>
    <mergeCell ref="B113:X113"/>
    <mergeCell ref="A99:A101"/>
    <mergeCell ref="B99:B101"/>
    <mergeCell ref="C99:C101"/>
    <mergeCell ref="D99:D101"/>
    <mergeCell ref="E99:E101"/>
    <mergeCell ref="F99:F101"/>
    <mergeCell ref="G99:G101"/>
    <mergeCell ref="H99:H101"/>
    <mergeCell ref="H96:H98"/>
    <mergeCell ref="A90:A92"/>
    <mergeCell ref="B90:B92"/>
    <mergeCell ref="A87:A89"/>
    <mergeCell ref="B87:B89"/>
    <mergeCell ref="C87:C89"/>
    <mergeCell ref="D87:D89"/>
    <mergeCell ref="E87:E89"/>
    <mergeCell ref="F87:F89"/>
    <mergeCell ref="G87:G89"/>
    <mergeCell ref="H87:H89"/>
    <mergeCell ref="C90:C92"/>
    <mergeCell ref="D90:D92"/>
    <mergeCell ref="A96:A98"/>
    <mergeCell ref="B96:B98"/>
    <mergeCell ref="A93:A95"/>
    <mergeCell ref="B93:B95"/>
    <mergeCell ref="C96:C98"/>
    <mergeCell ref="D96:D98"/>
    <mergeCell ref="E96:E98"/>
    <mergeCell ref="F96:F98"/>
    <mergeCell ref="G96:G98"/>
    <mergeCell ref="C93:C95"/>
    <mergeCell ref="D93:D95"/>
    <mergeCell ref="A82:A86"/>
    <mergeCell ref="B82:B86"/>
    <mergeCell ref="A77:A81"/>
    <mergeCell ref="B77:B81"/>
    <mergeCell ref="C77:C81"/>
    <mergeCell ref="D77:D81"/>
    <mergeCell ref="E77:E81"/>
    <mergeCell ref="G77:G81"/>
    <mergeCell ref="H77:H81"/>
    <mergeCell ref="F77:F81"/>
    <mergeCell ref="C82:C86"/>
    <mergeCell ref="D82:D86"/>
    <mergeCell ref="A68:A70"/>
    <mergeCell ref="B68:B70"/>
    <mergeCell ref="A65:A67"/>
    <mergeCell ref="B65:B67"/>
    <mergeCell ref="C65:C67"/>
    <mergeCell ref="D65:D67"/>
    <mergeCell ref="E65:E67"/>
    <mergeCell ref="F65:F67"/>
    <mergeCell ref="G65:G67"/>
    <mergeCell ref="C68:C70"/>
    <mergeCell ref="D68:D70"/>
    <mergeCell ref="A74:A76"/>
    <mergeCell ref="B74:B76"/>
    <mergeCell ref="A71:A73"/>
    <mergeCell ref="B71:B73"/>
    <mergeCell ref="C74:C76"/>
    <mergeCell ref="D74:D76"/>
    <mergeCell ref="E74:E76"/>
    <mergeCell ref="F74:F76"/>
    <mergeCell ref="G74:G76"/>
    <mergeCell ref="C71:C73"/>
    <mergeCell ref="D71:D73"/>
    <mergeCell ref="A62:A64"/>
    <mergeCell ref="B62:B64"/>
    <mergeCell ref="A58:A60"/>
    <mergeCell ref="B58:B60"/>
    <mergeCell ref="C62:C64"/>
    <mergeCell ref="D62:D64"/>
    <mergeCell ref="E62:E64"/>
    <mergeCell ref="G62:G64"/>
    <mergeCell ref="H62:H64"/>
    <mergeCell ref="F62:F64"/>
    <mergeCell ref="H52:H54"/>
    <mergeCell ref="C55:C57"/>
    <mergeCell ref="D55:D57"/>
    <mergeCell ref="A49:A51"/>
    <mergeCell ref="B49:B51"/>
    <mergeCell ref="A46:A48"/>
    <mergeCell ref="B46:B48"/>
    <mergeCell ref="C49:C51"/>
    <mergeCell ref="D49:D51"/>
    <mergeCell ref="E49:E51"/>
    <mergeCell ref="F49:F51"/>
    <mergeCell ref="G49:G51"/>
    <mergeCell ref="H49:H51"/>
    <mergeCell ref="A55:A57"/>
    <mergeCell ref="B55:B57"/>
    <mergeCell ref="A52:A54"/>
    <mergeCell ref="B52:B54"/>
    <mergeCell ref="C52:C54"/>
    <mergeCell ref="D52:D54"/>
    <mergeCell ref="E52:E54"/>
    <mergeCell ref="F52:F54"/>
    <mergeCell ref="G52:G54"/>
    <mergeCell ref="E55:E57"/>
    <mergeCell ref="F55:F57"/>
    <mergeCell ref="H40:H42"/>
    <mergeCell ref="C43:C45"/>
    <mergeCell ref="D43:D45"/>
    <mergeCell ref="A37:A39"/>
    <mergeCell ref="B37:B39"/>
    <mergeCell ref="A34:A36"/>
    <mergeCell ref="B34:B36"/>
    <mergeCell ref="A28:A31"/>
    <mergeCell ref="B28:B31"/>
    <mergeCell ref="G28:G31"/>
    <mergeCell ref="A43:A45"/>
    <mergeCell ref="B43:B45"/>
    <mergeCell ref="A40:A42"/>
    <mergeCell ref="B40:B42"/>
    <mergeCell ref="C40:C42"/>
    <mergeCell ref="D40:D42"/>
    <mergeCell ref="E40:E42"/>
    <mergeCell ref="F40:F42"/>
    <mergeCell ref="G40:G42"/>
    <mergeCell ref="H28:H31"/>
    <mergeCell ref="F28:F31"/>
    <mergeCell ref="C34:C36"/>
    <mergeCell ref="D34:D36"/>
    <mergeCell ref="E34:E36"/>
    <mergeCell ref="A24:A26"/>
    <mergeCell ref="B24:B26"/>
    <mergeCell ref="C24:C26"/>
    <mergeCell ref="D24:D26"/>
    <mergeCell ref="E24:E26"/>
    <mergeCell ref="F24:F26"/>
    <mergeCell ref="C28:C31"/>
    <mergeCell ref="D28:D31"/>
    <mergeCell ref="E28:E31"/>
    <mergeCell ref="F18:F20"/>
    <mergeCell ref="F21:F23"/>
    <mergeCell ref="A12:A14"/>
    <mergeCell ref="B12:B14"/>
    <mergeCell ref="A15:A17"/>
    <mergeCell ref="B15:B17"/>
    <mergeCell ref="C12:C14"/>
    <mergeCell ref="C15:C17"/>
    <mergeCell ref="D12:D14"/>
    <mergeCell ref="E12:E14"/>
    <mergeCell ref="D15:D17"/>
    <mergeCell ref="E15:E17"/>
    <mergeCell ref="F12:F14"/>
    <mergeCell ref="F15:F17"/>
    <mergeCell ref="A21:A23"/>
    <mergeCell ref="B21:B23"/>
    <mergeCell ref="A18:A20"/>
    <mergeCell ref="B18:B20"/>
    <mergeCell ref="C18:C20"/>
    <mergeCell ref="C21:C23"/>
    <mergeCell ref="D18:D20"/>
    <mergeCell ref="E18:E20"/>
    <mergeCell ref="D21:D23"/>
    <mergeCell ref="E21:E23"/>
    <mergeCell ref="B2:N2"/>
    <mergeCell ref="B3:N3"/>
    <mergeCell ref="B4:N4"/>
    <mergeCell ref="O4:X4"/>
    <mergeCell ref="A6:A8"/>
    <mergeCell ref="B6:B8"/>
    <mergeCell ref="C6:H7"/>
    <mergeCell ref="J6:K7"/>
    <mergeCell ref="L6:Q7"/>
    <mergeCell ref="R6:T7"/>
    <mergeCell ref="U6:X7"/>
    <mergeCell ref="M8:N8"/>
    <mergeCell ref="O8:P8"/>
    <mergeCell ref="X8:X9"/>
    <mergeCell ref="W8:W9"/>
    <mergeCell ref="V8:V9"/>
    <mergeCell ref="U8:U9"/>
    <mergeCell ref="T8:T9"/>
    <mergeCell ref="S8:S9"/>
    <mergeCell ref="R8:R9"/>
    <mergeCell ref="Q8:Q9"/>
    <mergeCell ref="L8:L9"/>
    <mergeCell ref="K8:K9"/>
    <mergeCell ref="J8:J9"/>
  </mergeCells>
  <pageMargins left="1.04" right="1.2" top="1.03" bottom="0.75" header="0.3" footer="0.3"/>
  <pageSetup scale="31" orientation="landscape" r:id="rId1"/>
  <rowBreaks count="1" manualBreakCount="1">
    <brk id="60" max="23" man="1"/>
  </rowBreaks>
  <colBreaks count="1" manualBreakCount="1">
    <brk id="24" max="1048575" man="1"/>
  </colBreaks>
  <ignoredErrors>
    <ignoredError sqref="D12:J12 D15:I28 E13:E14 G13:I14 D32:I62 D29:E31 G29:I31 D65:I77 D63:E64 G63:I64 D82:I101 D78:E81 G78:I81" numberStoredAsText="1"/>
    <ignoredError sqref="J13:J101" twoDigitTextYear="1" numberStoredAsText="1"/>
    <ignoredError sqref="J102:P102 S102:X102" twoDigitTextYear="1"/>
    <ignoredError sqref="K12:Q12 S12:X12" numberStoredAsText="1" unlockedFormula="1"/>
    <ignoredError sqref="K13:X14 K85:X86 K79:V81 X79:X84 K17:X17 K15:Q15 S15:X15 K19:X20 K18:Q18 S18:X18 K22:X23 K21:Q21 S21:X21 K25:X27 K24:Q24 S24:X24 K29:X33 K28:Q28 S28:X28 K35:X36 K34:Q34 S34:X34 K38:X39 K37:Q37 S37:X37 K41:X42 K40:Q40 S40:X40 K44:X45 K43:Q43 S43:X43 K47:X48 K46:Q46 S46:X46 K50:X51 K49:Q49 S49:X49 K53:X54 K52:Q52 S52:X52 K56:X57 K55:Q55 S55:X55 K59:X61 K58:Q58 S58:X58 K63:X64 K62:Q62 S62:X62 K66:X67 K65:Q65 S65:X65 K69:X70 K68:Q68 S68:X68 K72:X73 K71:Q71 S71:X71 K75:X76 K74:Q74 S74:X74 K78:X78 K77:Q77 S77:X77 K83:V84 K82:Q82 S82:V82 K88:X89 K87:Q87 S87:X87 K91:X92 K90:Q90 S90:X90 K94:X95 K93:Q93 S93:X93 K97:X98 K96:Q96 S96:X96 K100:X101 K99:Q99 S99:X99 K16:Q16 S16:X16" twoDigitTextYear="1" numberStoredAsText="1" unlockedFormula="1"/>
    <ignoredError sqref="W79:W84" twoDigitTextYear="1" numberStoredAsText="1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view="pageBreakPreview" zoomScale="60" zoomScaleNormal="80" workbookViewId="0">
      <selection activeCell="K38" sqref="K38"/>
    </sheetView>
  </sheetViews>
  <sheetFormatPr defaultColWidth="26.109375" defaultRowHeight="14.4" x14ac:dyDescent="0.3"/>
  <cols>
    <col min="1" max="1" width="25.44140625" style="177" customWidth="1"/>
    <col min="2" max="2" width="7.6640625" style="177" customWidth="1"/>
    <col min="3" max="3" width="11.88671875" style="177" customWidth="1"/>
    <col min="4" max="4" width="7.6640625" style="177" customWidth="1"/>
    <col min="5" max="5" width="11.5546875" style="177" customWidth="1"/>
    <col min="6" max="6" width="6.109375" style="177" customWidth="1"/>
    <col min="7" max="7" width="8" style="177" customWidth="1"/>
    <col min="8" max="8" width="11.44140625" style="177" customWidth="1"/>
    <col min="9" max="9" width="11.109375" style="177" customWidth="1"/>
    <col min="10" max="10" width="12.44140625" style="177" customWidth="1"/>
    <col min="11" max="11" width="12.6640625" style="177" customWidth="1"/>
    <col min="12" max="12" width="10.44140625" style="177" customWidth="1"/>
    <col min="13" max="13" width="12.44140625" style="177" customWidth="1"/>
    <col min="14" max="14" width="7.88671875" style="177" customWidth="1"/>
    <col min="15" max="15" width="11.6640625" style="177" customWidth="1"/>
    <col min="16" max="17" width="11.88671875" style="177" customWidth="1"/>
    <col min="18" max="18" width="8.6640625" style="177" customWidth="1"/>
    <col min="19" max="19" width="10.33203125" style="177" customWidth="1"/>
    <col min="20" max="20" width="12.44140625" style="177" customWidth="1"/>
    <col min="21" max="22" width="7.5546875" style="177" customWidth="1"/>
    <col min="23" max="23" width="10" style="177" customWidth="1"/>
    <col min="24" max="24" width="11.6640625" style="177" customWidth="1"/>
    <col min="25" max="25" width="11.5546875" style="178" customWidth="1"/>
    <col min="26" max="26" width="12.44140625" style="177" customWidth="1"/>
    <col min="27" max="27" width="12.109375" style="177" customWidth="1"/>
    <col min="28" max="28" width="11.88671875" style="177" customWidth="1"/>
    <col min="29" max="29" width="8.88671875" style="177" customWidth="1"/>
    <col min="30" max="30" width="12.109375" style="177" customWidth="1"/>
    <col min="31" max="32" width="11.6640625" style="177" customWidth="1"/>
    <col min="33" max="33" width="11.6640625" style="177" bestFit="1" customWidth="1"/>
    <col min="34" max="16384" width="26.109375" style="177"/>
  </cols>
  <sheetData>
    <row r="1" spans="1:33" s="234" customFormat="1" ht="24" customHeight="1" x14ac:dyDescent="0.3">
      <c r="A1" s="905" t="s">
        <v>702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</row>
    <row r="2" spans="1:33" s="234" customFormat="1" ht="22.5" customHeight="1" x14ac:dyDescent="0.3">
      <c r="A2" s="203" t="s">
        <v>490</v>
      </c>
      <c r="B2" s="740" t="s">
        <v>491</v>
      </c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167"/>
      <c r="Q2" s="167"/>
      <c r="R2" s="167"/>
      <c r="S2" s="276" t="s">
        <v>69</v>
      </c>
      <c r="T2" s="167"/>
      <c r="U2" s="167"/>
      <c r="V2" s="167"/>
      <c r="W2" s="167"/>
      <c r="X2" s="167"/>
      <c r="Y2" s="167"/>
    </row>
    <row r="3" spans="1:33" s="234" customFormat="1" ht="22.5" customHeight="1" x14ac:dyDescent="0.3">
      <c r="A3" s="203" t="s">
        <v>492</v>
      </c>
      <c r="B3" s="740" t="s">
        <v>452</v>
      </c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167"/>
      <c r="Q3" s="167"/>
      <c r="R3" s="167"/>
      <c r="S3" s="167"/>
      <c r="T3" s="167"/>
      <c r="U3" s="167"/>
      <c r="V3" s="167"/>
      <c r="W3" s="167"/>
      <c r="X3" s="167"/>
      <c r="Y3" s="167"/>
    </row>
    <row r="4" spans="1:33" s="234" customFormat="1" ht="22.5" customHeight="1" x14ac:dyDescent="0.3">
      <c r="A4" s="203" t="s">
        <v>6</v>
      </c>
      <c r="B4" s="740" t="s">
        <v>454</v>
      </c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5" spans="1:33" s="234" customFormat="1" ht="24" customHeight="1" thickBot="1" x14ac:dyDescent="0.35">
      <c r="A5" s="203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</row>
    <row r="6" spans="1:33" s="234" customFormat="1" ht="22.5" customHeight="1" x14ac:dyDescent="0.3">
      <c r="A6" s="906" t="s">
        <v>703</v>
      </c>
      <c r="B6" s="906"/>
      <c r="C6" s="906"/>
      <c r="D6" s="906"/>
      <c r="E6" s="906"/>
      <c r="F6" s="906"/>
      <c r="G6" s="906"/>
      <c r="H6" s="906"/>
      <c r="I6" s="906"/>
      <c r="J6" s="907"/>
      <c r="K6" s="908"/>
      <c r="L6" s="907"/>
      <c r="M6" s="908"/>
      <c r="N6" s="909" t="s">
        <v>13</v>
      </c>
      <c r="O6" s="907"/>
      <c r="P6" s="907"/>
      <c r="Q6" s="353"/>
      <c r="R6" s="353"/>
      <c r="S6" s="353"/>
      <c r="T6" s="353"/>
      <c r="U6" s="353"/>
      <c r="V6" s="909" t="s">
        <v>537</v>
      </c>
      <c r="W6" s="915" t="s">
        <v>544</v>
      </c>
      <c r="X6" s="915"/>
      <c r="Y6" s="915"/>
      <c r="Z6" s="913" t="s">
        <v>18</v>
      </c>
      <c r="AA6" s="913"/>
      <c r="AB6" s="913"/>
      <c r="AC6" s="916" t="s">
        <v>537</v>
      </c>
      <c r="AD6" s="910" t="s">
        <v>20</v>
      </c>
      <c r="AE6" s="911"/>
      <c r="AF6" s="911"/>
      <c r="AG6" s="912"/>
    </row>
    <row r="7" spans="1:33" s="234" customFormat="1" ht="15" customHeight="1" x14ac:dyDescent="0.3">
      <c r="A7" s="906"/>
      <c r="B7" s="906"/>
      <c r="C7" s="907" t="s">
        <v>704</v>
      </c>
      <c r="D7" s="907"/>
      <c r="E7" s="906"/>
      <c r="F7" s="906"/>
      <c r="G7" s="906"/>
      <c r="H7" s="907" t="s">
        <v>441</v>
      </c>
      <c r="I7" s="907"/>
      <c r="J7" s="908"/>
      <c r="K7" s="908"/>
      <c r="L7" s="908"/>
      <c r="M7" s="908"/>
      <c r="N7" s="909"/>
      <c r="O7" s="907"/>
      <c r="P7" s="907"/>
      <c r="Q7" s="353"/>
      <c r="R7" s="353"/>
      <c r="S7" s="353"/>
      <c r="T7" s="353"/>
      <c r="U7" s="353"/>
      <c r="V7" s="909"/>
      <c r="W7" s="353"/>
      <c r="X7" s="353"/>
      <c r="Y7" s="353"/>
      <c r="Z7" s="913"/>
      <c r="AA7" s="913"/>
      <c r="AB7" s="913"/>
      <c r="AC7" s="909"/>
      <c r="AD7" s="910"/>
      <c r="AE7" s="911"/>
      <c r="AF7" s="911"/>
      <c r="AG7" s="912"/>
    </row>
    <row r="8" spans="1:33" s="234" customFormat="1" ht="101.25" customHeight="1" x14ac:dyDescent="0.3">
      <c r="A8" s="354" t="s">
        <v>8</v>
      </c>
      <c r="B8" s="332" t="s">
        <v>436</v>
      </c>
      <c r="C8" s="332" t="s">
        <v>532</v>
      </c>
      <c r="D8" s="332" t="s">
        <v>533</v>
      </c>
      <c r="E8" s="332" t="s">
        <v>705</v>
      </c>
      <c r="F8" s="332" t="s">
        <v>434</v>
      </c>
      <c r="G8" s="332" t="s">
        <v>13</v>
      </c>
      <c r="H8" s="332" t="s">
        <v>433</v>
      </c>
      <c r="I8" s="332" t="s">
        <v>25</v>
      </c>
      <c r="J8" s="332" t="s">
        <v>706</v>
      </c>
      <c r="K8" s="332" t="s">
        <v>431</v>
      </c>
      <c r="L8" s="332" t="s">
        <v>422</v>
      </c>
      <c r="M8" s="332" t="s">
        <v>421</v>
      </c>
      <c r="N8" s="909"/>
      <c r="O8" s="332" t="s">
        <v>538</v>
      </c>
      <c r="P8" s="332" t="s">
        <v>707</v>
      </c>
      <c r="Q8" s="332" t="s">
        <v>540</v>
      </c>
      <c r="R8" s="332" t="s">
        <v>541</v>
      </c>
      <c r="S8" s="332" t="s">
        <v>425</v>
      </c>
      <c r="T8" s="332" t="s">
        <v>708</v>
      </c>
      <c r="U8" s="355" t="s">
        <v>543</v>
      </c>
      <c r="V8" s="909"/>
      <c r="W8" s="332" t="s">
        <v>544</v>
      </c>
      <c r="X8" s="355" t="s">
        <v>709</v>
      </c>
      <c r="Y8" s="332" t="s">
        <v>545</v>
      </c>
      <c r="Z8" s="355" t="s">
        <v>420</v>
      </c>
      <c r="AA8" s="332" t="s">
        <v>710</v>
      </c>
      <c r="AB8" s="332" t="s">
        <v>546</v>
      </c>
      <c r="AC8" s="909"/>
      <c r="AD8" s="278" t="s">
        <v>547</v>
      </c>
      <c r="AE8" s="278" t="s">
        <v>548</v>
      </c>
      <c r="AF8" s="278" t="s">
        <v>549</v>
      </c>
      <c r="AG8" s="279" t="s">
        <v>81</v>
      </c>
    </row>
    <row r="9" spans="1:33" s="234" customFormat="1" ht="21.75" customHeight="1" x14ac:dyDescent="0.25">
      <c r="A9" s="348" t="s">
        <v>35</v>
      </c>
      <c r="B9" s="349"/>
      <c r="C9" s="349"/>
      <c r="D9" s="349"/>
      <c r="E9" s="349"/>
      <c r="F9" s="349"/>
      <c r="G9" s="349"/>
      <c r="H9" s="350" t="s">
        <v>414</v>
      </c>
      <c r="I9" s="351" t="s">
        <v>409</v>
      </c>
      <c r="J9" s="350" t="s">
        <v>84</v>
      </c>
      <c r="K9" s="350" t="s">
        <v>410</v>
      </c>
      <c r="L9" s="351"/>
      <c r="M9" s="352" t="s">
        <v>409</v>
      </c>
      <c r="N9" s="349"/>
      <c r="O9" s="351" t="s">
        <v>413</v>
      </c>
      <c r="P9" s="351" t="s">
        <v>87</v>
      </c>
      <c r="Q9" s="351" t="s">
        <v>412</v>
      </c>
      <c r="R9" s="351" t="s">
        <v>411</v>
      </c>
      <c r="S9" s="351" t="s">
        <v>410</v>
      </c>
      <c r="T9" s="351" t="s">
        <v>409</v>
      </c>
      <c r="U9" s="351" t="s">
        <v>711</v>
      </c>
      <c r="V9" s="349"/>
      <c r="X9" s="349"/>
      <c r="Y9" s="349"/>
      <c r="Z9" s="349"/>
      <c r="AA9" s="349"/>
      <c r="AB9" s="349"/>
      <c r="AC9" s="280"/>
      <c r="AD9" s="280"/>
      <c r="AE9" s="280"/>
      <c r="AF9" s="280"/>
      <c r="AG9" s="281"/>
    </row>
    <row r="10" spans="1:33" s="234" customFormat="1" ht="30.75" customHeight="1" x14ac:dyDescent="0.3">
      <c r="A10" s="919" t="s">
        <v>712</v>
      </c>
      <c r="B10" s="729" t="s">
        <v>551</v>
      </c>
      <c r="C10" s="920" t="s">
        <v>713</v>
      </c>
      <c r="D10" s="920" t="s">
        <v>714</v>
      </c>
      <c r="E10" s="914">
        <f>1500000/S2</f>
        <v>86455.829716597786</v>
      </c>
      <c r="F10" s="914" t="s">
        <v>94</v>
      </c>
      <c r="G10" s="237" t="s">
        <v>43</v>
      </c>
      <c r="H10" s="282">
        <v>40983</v>
      </c>
      <c r="I10" s="241">
        <f>H10+10</f>
        <v>40993</v>
      </c>
      <c r="J10" s="241">
        <f>I10+5</f>
        <v>40998</v>
      </c>
      <c r="K10" s="241">
        <f>J10+21</f>
        <v>41019</v>
      </c>
      <c r="L10" s="241">
        <f>K10+15</f>
        <v>41034</v>
      </c>
      <c r="M10" s="241">
        <f>L10+10</f>
        <v>41044</v>
      </c>
      <c r="N10" s="237" t="s">
        <v>43</v>
      </c>
      <c r="O10" s="282">
        <f>M10+7</f>
        <v>41051</v>
      </c>
      <c r="P10" s="241">
        <f>O10+28</f>
        <v>41079</v>
      </c>
      <c r="Q10" s="241">
        <f>P10+10</f>
        <v>41089</v>
      </c>
      <c r="R10" s="241">
        <f>Q10+7</f>
        <v>41096</v>
      </c>
      <c r="S10" s="241">
        <f>R10+7</f>
        <v>41103</v>
      </c>
      <c r="T10" s="241">
        <f>S10+10</f>
        <v>41113</v>
      </c>
      <c r="U10" s="241"/>
      <c r="V10" s="237" t="s">
        <v>43</v>
      </c>
      <c r="W10" s="241">
        <f>S10+15</f>
        <v>41118</v>
      </c>
      <c r="X10" s="241">
        <f>W10+5</f>
        <v>41123</v>
      </c>
      <c r="Y10" s="241">
        <f>X10+5</f>
        <v>41128</v>
      </c>
      <c r="Z10" s="238"/>
      <c r="AA10" s="241">
        <f>Y10+7</f>
        <v>41135</v>
      </c>
      <c r="AB10" s="241">
        <f>AA10+5</f>
        <v>41140</v>
      </c>
      <c r="AC10" s="237" t="s">
        <v>43</v>
      </c>
      <c r="AD10" s="241">
        <f>AB10+10</f>
        <v>41150</v>
      </c>
      <c r="AE10" s="241">
        <f>AD10+120</f>
        <v>41270</v>
      </c>
      <c r="AF10" s="241">
        <f>AE10+15</f>
        <v>41285</v>
      </c>
      <c r="AG10" s="239"/>
    </row>
    <row r="11" spans="1:33" s="234" customFormat="1" ht="27" customHeight="1" x14ac:dyDescent="0.3">
      <c r="A11" s="919"/>
      <c r="B11" s="729"/>
      <c r="C11" s="920"/>
      <c r="D11" s="920"/>
      <c r="E11" s="914"/>
      <c r="F11" s="914"/>
      <c r="G11" s="237" t="s">
        <v>504</v>
      </c>
      <c r="H11" s="282">
        <v>41058</v>
      </c>
      <c r="I11" s="241">
        <f>H11+10</f>
        <v>41068</v>
      </c>
      <c r="J11" s="241">
        <f>H11+10</f>
        <v>41068</v>
      </c>
      <c r="K11" s="241">
        <f>J11+10</f>
        <v>41078</v>
      </c>
      <c r="L11" s="241">
        <f>K11+10</f>
        <v>41088</v>
      </c>
      <c r="M11" s="241">
        <f>L11+15</f>
        <v>41103</v>
      </c>
      <c r="N11" s="237" t="s">
        <v>504</v>
      </c>
      <c r="O11" s="282">
        <f>L11+15</f>
        <v>41103</v>
      </c>
      <c r="P11" s="241">
        <f>O11+30</f>
        <v>41133</v>
      </c>
      <c r="Q11" s="241">
        <f>P11+15</f>
        <v>41148</v>
      </c>
      <c r="R11" s="241"/>
      <c r="S11" s="241">
        <f>Q11+15</f>
        <v>41163</v>
      </c>
      <c r="T11" s="241">
        <f>S11+15</f>
        <v>41178</v>
      </c>
      <c r="U11" s="241"/>
      <c r="V11" s="237" t="s">
        <v>504</v>
      </c>
      <c r="W11" s="241">
        <f>T11+10</f>
        <v>41188</v>
      </c>
      <c r="X11" s="241">
        <f>W11+5</f>
        <v>41193</v>
      </c>
      <c r="Y11" s="241"/>
      <c r="Z11" s="238"/>
      <c r="AA11" s="241">
        <f>X11+5</f>
        <v>41198</v>
      </c>
      <c r="AB11" s="241">
        <f>AA11+5</f>
        <v>41203</v>
      </c>
      <c r="AC11" s="237"/>
      <c r="AD11" s="241">
        <f>AB11+10</f>
        <v>41213</v>
      </c>
      <c r="AE11" s="241">
        <f>AD11+120</f>
        <v>41333</v>
      </c>
      <c r="AF11" s="241">
        <f>AE11+15</f>
        <v>41348</v>
      </c>
      <c r="AG11" s="239"/>
    </row>
    <row r="12" spans="1:33" s="234" customFormat="1" ht="27" customHeight="1" x14ac:dyDescent="0.3">
      <c r="A12" s="919"/>
      <c r="B12" s="729"/>
      <c r="C12" s="920"/>
      <c r="D12" s="920"/>
      <c r="E12" s="914"/>
      <c r="F12" s="914"/>
      <c r="G12" s="237" t="s">
        <v>44</v>
      </c>
      <c r="H12" s="283"/>
      <c r="I12" s="283"/>
      <c r="J12" s="283"/>
      <c r="K12" s="283"/>
      <c r="L12" s="284"/>
      <c r="M12" s="283"/>
      <c r="N12" s="237" t="s">
        <v>44</v>
      </c>
      <c r="O12" s="284"/>
      <c r="P12" s="284"/>
      <c r="Q12" s="284"/>
      <c r="R12" s="170"/>
      <c r="S12" s="170"/>
      <c r="T12" s="170"/>
      <c r="U12" s="170"/>
      <c r="V12" s="237" t="s">
        <v>44</v>
      </c>
      <c r="W12" s="170"/>
      <c r="X12" s="170"/>
      <c r="Y12" s="170"/>
      <c r="Z12" s="238"/>
      <c r="AA12" s="170"/>
      <c r="AB12" s="170"/>
      <c r="AC12" s="237" t="s">
        <v>44</v>
      </c>
      <c r="AD12" s="170"/>
      <c r="AE12" s="170"/>
      <c r="AF12" s="170"/>
      <c r="AG12" s="240"/>
    </row>
    <row r="13" spans="1:33" s="234" customFormat="1" ht="20.25" customHeight="1" x14ac:dyDescent="0.3">
      <c r="A13" s="919"/>
      <c r="B13" s="235"/>
      <c r="C13" s="235"/>
      <c r="D13" s="235"/>
      <c r="E13" s="236"/>
      <c r="F13" s="235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1"/>
      <c r="AA13" s="370"/>
      <c r="AB13" s="370"/>
      <c r="AC13" s="370"/>
      <c r="AD13" s="370"/>
      <c r="AE13" s="370"/>
      <c r="AF13" s="370"/>
      <c r="AG13" s="372"/>
    </row>
    <row r="14" spans="1:33" s="234" customFormat="1" ht="20.25" customHeight="1" thickBot="1" x14ac:dyDescent="0.35">
      <c r="A14" s="917" t="s">
        <v>557</v>
      </c>
      <c r="B14" s="918"/>
      <c r="C14" s="918"/>
      <c r="D14" s="918"/>
      <c r="E14" s="285">
        <f>E10</f>
        <v>86455.829716597786</v>
      </c>
      <c r="F14" s="286"/>
      <c r="G14" s="287" t="s">
        <v>43</v>
      </c>
      <c r="H14" s="286"/>
      <c r="I14" s="286"/>
      <c r="J14" s="286"/>
      <c r="K14" s="286"/>
      <c r="L14" s="286"/>
      <c r="M14" s="286"/>
      <c r="N14" s="287" t="s">
        <v>43</v>
      </c>
      <c r="O14" s="286"/>
      <c r="P14" s="286"/>
      <c r="Q14" s="286"/>
      <c r="R14" s="286"/>
      <c r="S14" s="286"/>
      <c r="T14" s="286"/>
      <c r="U14" s="286"/>
      <c r="V14" s="287" t="s">
        <v>43</v>
      </c>
      <c r="W14" s="286"/>
      <c r="X14" s="286"/>
      <c r="Y14" s="286"/>
      <c r="Z14" s="288"/>
      <c r="AA14" s="286"/>
      <c r="AB14" s="286"/>
      <c r="AC14" s="287" t="s">
        <v>43</v>
      </c>
      <c r="AD14" s="286"/>
      <c r="AE14" s="286"/>
      <c r="AF14" s="286"/>
      <c r="AG14" s="289"/>
    </row>
    <row r="18" spans="2:7" x14ac:dyDescent="0.3">
      <c r="B18" s="61"/>
      <c r="C18" s="61"/>
      <c r="D18" s="61"/>
      <c r="E18" s="61"/>
      <c r="F18" s="61"/>
      <c r="G18" s="205"/>
    </row>
  </sheetData>
  <mergeCells count="27">
    <mergeCell ref="A14:D14"/>
    <mergeCell ref="A10:A13"/>
    <mergeCell ref="B10:B12"/>
    <mergeCell ref="C10:C12"/>
    <mergeCell ref="D10:D12"/>
    <mergeCell ref="E10:E12"/>
    <mergeCell ref="F10:F12"/>
    <mergeCell ref="W6:Y6"/>
    <mergeCell ref="Z6:AB6"/>
    <mergeCell ref="AC6:AC8"/>
    <mergeCell ref="AD6:AG6"/>
    <mergeCell ref="A7:B7"/>
    <mergeCell ref="C7:D7"/>
    <mergeCell ref="E7:G7"/>
    <mergeCell ref="H7:I7"/>
    <mergeCell ref="Z7:AB7"/>
    <mergeCell ref="AD7:AG7"/>
    <mergeCell ref="A1:Y1"/>
    <mergeCell ref="B2:O2"/>
    <mergeCell ref="B3:O3"/>
    <mergeCell ref="B4:O4"/>
    <mergeCell ref="A6:I6"/>
    <mergeCell ref="J6:K7"/>
    <mergeCell ref="L6:M7"/>
    <mergeCell ref="N6:N8"/>
    <mergeCell ref="O6:P7"/>
    <mergeCell ref="V6:V8"/>
  </mergeCells>
  <pageMargins left="0.7" right="0.7" top="1.98" bottom="0.75" header="0.86" footer="0.3"/>
  <pageSetup scale="33" orientation="landscape" r:id="rId1"/>
  <ignoredErrors>
    <ignoredError sqref="I10:Y10 E10:E14 I11 K11:AA11 AA10" unlockedFormula="1"/>
    <ignoredError sqref="J1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Rural goods</vt:lpstr>
      <vt:lpstr>Rural Works </vt:lpstr>
      <vt:lpstr>Rural Consultancy</vt:lpstr>
      <vt:lpstr>GoodsLT</vt:lpstr>
      <vt:lpstr>WorksLT</vt:lpstr>
      <vt:lpstr>ConsultancyLT</vt:lpstr>
      <vt:lpstr>GoodsST</vt:lpstr>
      <vt:lpstr>WorkST</vt:lpstr>
      <vt:lpstr>ConsultantST</vt:lpstr>
      <vt:lpstr>ConsultancyLT!Print_Area</vt:lpstr>
      <vt:lpstr>GoodsLT!Print_Area</vt:lpstr>
      <vt:lpstr>GoodsST!Print_Area</vt:lpstr>
      <vt:lpstr>'Rural Works '!Print_Area</vt:lpstr>
      <vt:lpstr>WorkST!Print_Area</vt:lpstr>
      <vt:lpstr>'Rural Works '!Print_Titles</vt:lpstr>
      <vt:lpstr>WorkST!Print_Titles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P.Off</dc:creator>
  <cp:lastModifiedBy>Messeret Marcos</cp:lastModifiedBy>
  <cp:lastPrinted>2012-10-22T11:03:12Z</cp:lastPrinted>
  <dcterms:created xsi:type="dcterms:W3CDTF">2012-06-05T14:45:02Z</dcterms:created>
  <dcterms:modified xsi:type="dcterms:W3CDTF">2013-02-13T06:50:40Z</dcterms:modified>
</cp:coreProperties>
</file>